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20" windowHeight="9090" activeTab="0"/>
  </bookViews>
  <sheets>
    <sheet name="Wing_Layout" sheetId="1" r:id="rId1"/>
    <sheet name="Ribs" sheetId="2" r:id="rId2"/>
    <sheet name="Final_ribs" sheetId="3" r:id="rId3"/>
  </sheets>
  <definedNames/>
  <calcPr fullCalcOnLoad="1"/>
</workbook>
</file>

<file path=xl/sharedStrings.xml><?xml version="1.0" encoding="utf-8"?>
<sst xmlns="http://schemas.openxmlformats.org/spreadsheetml/2006/main" count="120" uniqueCount="39">
  <si>
    <t>x</t>
  </si>
  <si>
    <t>y1</t>
  </si>
  <si>
    <t>y2</t>
  </si>
  <si>
    <t>Pitch</t>
  </si>
  <si>
    <t>TanSweepAngle</t>
  </si>
  <si>
    <t>Chord</t>
  </si>
  <si>
    <t>dx</t>
  </si>
  <si>
    <t>"-x"</t>
  </si>
  <si>
    <t>FS_right</t>
  </si>
  <si>
    <t>RS_right</t>
  </si>
  <si>
    <t>Right_Spar</t>
  </si>
  <si>
    <t>Final_1</t>
  </si>
  <si>
    <t>Scale_X</t>
  </si>
  <si>
    <t>Scale_Y</t>
  </si>
  <si>
    <t>Y_offset</t>
  </si>
  <si>
    <t>FS_left</t>
  </si>
  <si>
    <t>Left_Spar</t>
  </si>
  <si>
    <t>RS_left</t>
  </si>
  <si>
    <t>Rib_1</t>
  </si>
  <si>
    <t>Rib_2</t>
  </si>
  <si>
    <t>Rib_3</t>
  </si>
  <si>
    <t>Rib_4</t>
  </si>
  <si>
    <t>Rib_5</t>
  </si>
  <si>
    <t>y_front</t>
  </si>
  <si>
    <t>y_rear</t>
  </si>
  <si>
    <t>Slopes</t>
  </si>
  <si>
    <t>Angles</t>
  </si>
  <si>
    <t>y_rel_F</t>
  </si>
  <si>
    <t>y_rel_R</t>
  </si>
  <si>
    <t>Rib_6</t>
  </si>
  <si>
    <t xml:space="preserve"> </t>
  </si>
  <si>
    <t>Rib_7</t>
  </si>
  <si>
    <t>Rib_8</t>
  </si>
  <si>
    <t>Rib_9</t>
  </si>
  <si>
    <t>Rib_10</t>
  </si>
  <si>
    <t>LeadThick</t>
  </si>
  <si>
    <t>LeadWidth</t>
  </si>
  <si>
    <t>LeadOffset</t>
  </si>
  <si>
    <t>TrailWidth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</si>
</sst>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8.5"/>
      <name val="Arial"/>
      <family val="0"/>
    </font>
    <font>
      <b/>
      <sz val="10"/>
      <name val="Arial"/>
      <family val="2"/>
    </font>
    <font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75"/>
      <name val="Arial"/>
      <family val="0"/>
    </font>
    <font>
      <sz val="6.75"/>
      <name val="Arial"/>
      <family val="2"/>
    </font>
    <font>
      <sz val="5.5"/>
      <name val="Arial"/>
      <family val="2"/>
    </font>
    <font>
      <sz val="14.75"/>
      <name val="Arial"/>
      <family val="0"/>
    </font>
    <font>
      <sz val="6.25"/>
      <name val="Arial"/>
      <family val="2"/>
    </font>
    <font>
      <sz val="5"/>
      <name val="Arial"/>
      <family val="2"/>
    </font>
    <font>
      <sz val="3"/>
      <name val="Arial"/>
      <family val="2"/>
    </font>
    <font>
      <sz val="2.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915"/>
          <c:w val="0.9975"/>
          <c:h val="0.6085"/>
        </c:manualLayout>
      </c:layout>
      <c:scatterChart>
        <c:scatterStyle val="smoothMarker"/>
        <c:varyColors val="0"/>
        <c:ser>
          <c:idx val="0"/>
          <c:order val="0"/>
          <c:tx>
            <c:v>LeadingRight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Wing_Layout!$C$8:$C$18</c:f>
              <c:numCache/>
            </c:numRef>
          </c:xVal>
          <c:yVal>
            <c:numRef>
              <c:f>Wing_Layout!$F$8:$F$18</c:f>
              <c:numCache/>
            </c:numRef>
          </c:yVal>
          <c:smooth val="1"/>
        </c:ser>
        <c:ser>
          <c:idx val="1"/>
          <c:order val="1"/>
          <c:tx>
            <c:v>TrailingRight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Wing_Layout!$C$8:$C$18</c:f>
              <c:numCache/>
            </c:numRef>
          </c:xVal>
          <c:yVal>
            <c:numRef>
              <c:f>Wing_Layout!$G$8:$G$18</c:f>
              <c:numCache/>
            </c:numRef>
          </c:yVal>
          <c:smooth val="1"/>
        </c:ser>
        <c:ser>
          <c:idx val="2"/>
          <c:order val="2"/>
          <c:tx>
            <c:v>RibsRight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Wing_Layout!$L$7:$AT$7</c:f>
              <c:numCache/>
            </c:numRef>
          </c:xVal>
          <c:yVal>
            <c:numRef>
              <c:f>Wing_Layout!$L$8:$AT$8</c:f>
              <c:numCache/>
            </c:numRef>
          </c:yVal>
          <c:smooth val="1"/>
        </c:ser>
        <c:ser>
          <c:idx val="3"/>
          <c:order val="3"/>
          <c:tx>
            <c:v>LeadingLeft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Wing_Layout!$H$8:$H$18</c:f>
              <c:numCache/>
            </c:numRef>
          </c:xVal>
          <c:yVal>
            <c:numRef>
              <c:f>Wing_Layout!$F$8:$F$18</c:f>
              <c:numCache/>
            </c:numRef>
          </c:yVal>
          <c:smooth val="1"/>
        </c:ser>
        <c:ser>
          <c:idx val="4"/>
          <c:order val="4"/>
          <c:tx>
            <c:v>TrailingLeft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Wing_Layout!$H$8:$H$18</c:f>
              <c:numCache/>
            </c:numRef>
          </c:xVal>
          <c:yVal>
            <c:numRef>
              <c:f>Wing_Layout!$G$8:$G$18</c:f>
              <c:numCache/>
            </c:numRef>
          </c:yVal>
          <c:smooth val="1"/>
        </c:ser>
        <c:ser>
          <c:idx val="5"/>
          <c:order val="5"/>
          <c:tx>
            <c:v>RibsLeft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Wing_Layout!$L$9:$AT$9</c:f>
              <c:numCache/>
            </c:numRef>
          </c:xVal>
          <c:yVal>
            <c:numRef>
              <c:f>Wing_Layout!$L$8:$AT$8</c:f>
              <c:numCache/>
            </c:numRef>
          </c:yVal>
          <c:smooth val="1"/>
        </c:ser>
        <c:ser>
          <c:idx val="6"/>
          <c:order val="6"/>
          <c:tx>
            <c:v>SF_right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Wing_Layout!$P$12:$P$13</c:f>
              <c:numCache/>
            </c:numRef>
          </c:xVal>
          <c:yVal>
            <c:numRef>
              <c:f>Wing_Layout!$Q$12:$Q$13</c:f>
              <c:numCache/>
            </c:numRef>
          </c:yVal>
          <c:smooth val="1"/>
        </c:ser>
        <c:ser>
          <c:idx val="7"/>
          <c:order val="7"/>
          <c:tx>
            <c:v>RS_right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Wing_Layout!$P$12:$P$13</c:f>
              <c:numCache/>
            </c:numRef>
          </c:xVal>
          <c:yVal>
            <c:numRef>
              <c:f>Wing_Layout!$R$12:$R$13</c:f>
              <c:numCache/>
            </c:numRef>
          </c:yVal>
          <c:smooth val="1"/>
        </c:ser>
        <c:ser>
          <c:idx val="8"/>
          <c:order val="8"/>
          <c:tx>
            <c:v>SF_left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Wing_Layout!$P$18:$P$19</c:f>
              <c:numCache/>
            </c:numRef>
          </c:xVal>
          <c:yVal>
            <c:numRef>
              <c:f>Wing_Layout!$Q$18:$Q$19</c:f>
              <c:numCache/>
            </c:numRef>
          </c:yVal>
          <c:smooth val="1"/>
        </c:ser>
        <c:ser>
          <c:idx val="9"/>
          <c:order val="9"/>
          <c:tx>
            <c:v>SR_left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Wing_Layout!$P$18:$P$19</c:f>
              <c:numCache/>
            </c:numRef>
          </c:xVal>
          <c:yVal>
            <c:numRef>
              <c:f>Wing_Layout!$R$18:$R$19</c:f>
              <c:numCache/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1"/>
          <c:order val="11"/>
          <c:tx>
            <c:v>LeadRightBack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Wing_Layout!$C$8:$C$18</c:f>
              <c:numCache/>
            </c:numRef>
          </c:xVal>
          <c:yVal>
            <c:numRef>
              <c:f>Wing_Layout!$K$8:$K$18</c:f>
              <c:numCache/>
            </c:numRef>
          </c:yVal>
          <c:smooth val="1"/>
        </c:ser>
        <c:axId val="54899584"/>
        <c:axId val="24334209"/>
      </c:scatterChart>
      <c:valAx>
        <c:axId val="54899584"/>
        <c:scaling>
          <c:orientation val="minMax"/>
          <c:max val="70"/>
          <c:min val="-70"/>
        </c:scaling>
        <c:axPos val="b"/>
        <c:delete val="0"/>
        <c:numFmt formatCode="General" sourceLinked="1"/>
        <c:majorTickMark val="out"/>
        <c:minorTickMark val="none"/>
        <c:tickLblPos val="nextTo"/>
        <c:crossAx val="24334209"/>
        <c:crosses val="autoZero"/>
        <c:crossBetween val="midCat"/>
        <c:dispUnits/>
      </c:valAx>
      <c:valAx>
        <c:axId val="24334209"/>
        <c:scaling>
          <c:orientation val="minMax"/>
          <c:max val="1"/>
          <c:min val="-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99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1"/>
          <c:h val="0.98425"/>
        </c:manualLayout>
      </c:layout>
      <c:scatterChart>
        <c:scatterStyle val="smoothMarker"/>
        <c:varyColors val="0"/>
        <c:ser>
          <c:idx val="0"/>
          <c:order val="0"/>
          <c:tx>
            <c:v>LeadingRight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Wing_Layout!$C$7:$C$18</c:f>
              <c:numCache/>
            </c:numRef>
          </c:xVal>
          <c:yVal>
            <c:numRef>
              <c:f>Wing_Layout!$F$7:$F$18</c:f>
              <c:numCache/>
            </c:numRef>
          </c:yVal>
          <c:smooth val="1"/>
        </c:ser>
        <c:ser>
          <c:idx val="1"/>
          <c:order val="1"/>
          <c:tx>
            <c:v>TrailingRight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Wing_Layout!$C$7:$C$18</c:f>
              <c:numCache/>
            </c:numRef>
          </c:xVal>
          <c:yVal>
            <c:numRef>
              <c:f>Wing_Layout!$G$7:$G$18</c:f>
              <c:numCache/>
            </c:numRef>
          </c:yVal>
          <c:smooth val="1"/>
        </c:ser>
        <c:ser>
          <c:idx val="2"/>
          <c:order val="2"/>
          <c:tx>
            <c:v>RibsRight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Wing_Layout!$L$7:$AT$7</c:f>
              <c:numCache/>
            </c:numRef>
          </c:xVal>
          <c:yVal>
            <c:numRef>
              <c:f>Wing_Layout!$L$8:$AT$8</c:f>
              <c:numCache/>
            </c:numRef>
          </c:yVal>
          <c:smooth val="1"/>
        </c:ser>
        <c:ser>
          <c:idx val="3"/>
          <c:order val="3"/>
          <c:tx>
            <c:v>LeadingLeft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Wing_Layout!$H$7:$H$18</c:f>
              <c:numCache/>
            </c:numRef>
          </c:xVal>
          <c:yVal>
            <c:numRef>
              <c:f>Wing_Layout!$F$7:$F$18</c:f>
              <c:numCache/>
            </c:numRef>
          </c:yVal>
          <c:smooth val="1"/>
        </c:ser>
        <c:ser>
          <c:idx val="4"/>
          <c:order val="4"/>
          <c:tx>
            <c:v>TrailingLeft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Wing_Layout!$H$7:$H$18</c:f>
              <c:numCache/>
            </c:numRef>
          </c:xVal>
          <c:yVal>
            <c:numRef>
              <c:f>Wing_Layout!$G$7:$G$18</c:f>
              <c:numCache/>
            </c:numRef>
          </c:yVal>
          <c:smooth val="1"/>
        </c:ser>
        <c:ser>
          <c:idx val="5"/>
          <c:order val="5"/>
          <c:tx>
            <c:v>RibsLeft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Wing_Layout!$L$9:$AT$9</c:f>
              <c:numCache/>
            </c:numRef>
          </c:xVal>
          <c:yVal>
            <c:numRef>
              <c:f>Wing_Layout!$L$8:$AT$8</c:f>
              <c:numCache/>
            </c:numRef>
          </c:yVal>
          <c:smooth val="1"/>
        </c:ser>
        <c:ser>
          <c:idx val="6"/>
          <c:order val="6"/>
          <c:tx>
            <c:v>SF_right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Wing_Layout!$P$12:$P$13</c:f>
              <c:numCache/>
            </c:numRef>
          </c:xVal>
          <c:yVal>
            <c:numRef>
              <c:f>Wing_Layout!$Q$12:$Q$13</c:f>
              <c:numCache/>
            </c:numRef>
          </c:yVal>
          <c:smooth val="1"/>
        </c:ser>
        <c:ser>
          <c:idx val="7"/>
          <c:order val="7"/>
          <c:tx>
            <c:v>RS_right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Wing_Layout!$P$12:$P$13</c:f>
              <c:numCache/>
            </c:numRef>
          </c:xVal>
          <c:yVal>
            <c:numRef>
              <c:f>Wing_Layout!$R$12:$R$13</c:f>
              <c:numCache/>
            </c:numRef>
          </c:yVal>
          <c:smooth val="1"/>
        </c:ser>
        <c:ser>
          <c:idx val="8"/>
          <c:order val="8"/>
          <c:tx>
            <c:v>SF_left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Wing_Layout!$P$18:$P$19</c:f>
              <c:numCache/>
            </c:numRef>
          </c:xVal>
          <c:yVal>
            <c:numRef>
              <c:f>Wing_Layout!$Q$18:$Q$19</c:f>
              <c:numCache/>
            </c:numRef>
          </c:yVal>
          <c:smooth val="1"/>
        </c:ser>
        <c:ser>
          <c:idx val="9"/>
          <c:order val="9"/>
          <c:tx>
            <c:v>SR_left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Wing_Layout!$P$18:$P$19</c:f>
              <c:numCache/>
            </c:numRef>
          </c:xVal>
          <c:yVal>
            <c:numRef>
              <c:f>Wing_Layout!$R$18:$R$19</c:f>
              <c:numCache/>
            </c:numRef>
          </c:yVal>
          <c:smooth val="1"/>
        </c:ser>
        <c:axId val="17681290"/>
        <c:axId val="24913883"/>
      </c:scatterChart>
      <c:valAx>
        <c:axId val="17681290"/>
        <c:scaling>
          <c:orientation val="minMax"/>
          <c:max val="7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4913883"/>
        <c:crosses val="autoZero"/>
        <c:crossBetween val="midCat"/>
        <c:dispUnits/>
      </c:valAx>
      <c:valAx>
        <c:axId val="24913883"/>
        <c:scaling>
          <c:orientation val="minMax"/>
          <c:max val="0"/>
          <c:min val="-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81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1"/>
        </c:manualLayout>
      </c:layout>
      <c:scatterChart>
        <c:scatterStyle val="smoothMarker"/>
        <c:varyColors val="0"/>
        <c:ser>
          <c:idx val="3"/>
          <c:order val="0"/>
          <c:tx>
            <c:v>Rib3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Ribs!$O$7:$O$104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Ribs!$P$7:$P$104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Rib6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Ribs!$X$7:$X$86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Ribs!$Y$7:$Y$86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6"/>
          <c:order val="2"/>
          <c:tx>
            <c:v>Rib7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Ribs!$AA$7:$AA$86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Ribs!$AB$7:$AB$86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7"/>
          <c:order val="3"/>
          <c:tx>
            <c:v>Rib8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Ribs!$AD$7:$AD$86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Ribs!$AE$7:$AE$86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8"/>
          <c:order val="4"/>
          <c:tx>
            <c:v>Rib9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Ribs!$AG$7:$AG$86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Ribs!$AH$7:$AH$86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9"/>
          <c:order val="5"/>
          <c:tx>
            <c:v>Rib10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Ribs!$AJ$7:$AJ$86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Ribs!$AK$7:$AK$86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1"/>
          <c:order val="6"/>
          <c:tx>
            <c:v>Rib1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Ribs!$I$7:$I$98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Ribs!$J$7:$J$98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2"/>
          <c:order val="7"/>
          <c:tx>
            <c:v>Rib2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Ribs!$L$7:$L$105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Ribs!$M$7:$M$105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1"/>
        </c:ser>
        <c:ser>
          <c:idx val="4"/>
          <c:order val="8"/>
          <c:tx>
            <c:v>Rib4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Ribs!$R$7:$R$86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Ribs!$S$7:$S$86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5"/>
          <c:order val="9"/>
          <c:tx>
            <c:v>Rib5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Ribs!$U$7:$U$86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Ribs!$V$7:$V$86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11"/>
          <c:order val="10"/>
          <c:tx>
            <c:v>Lead1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Ribs!$R$106:$R$110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Ribs!$S$106:$S$110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2"/>
          <c:order val="11"/>
          <c:tx>
            <c:v>Lead2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Ribs!$U$106:$U$110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Ribs!$V$106:$V$110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3"/>
          <c:order val="12"/>
          <c:tx>
            <c:v>Lead3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Ribs!$X$106:$X$110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Ribs!$Y$106:$Y$110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4"/>
          <c:order val="13"/>
          <c:tx>
            <c:v>Lead4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Ribs!$R$92:$R$99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Ribs!$S$92:$S$99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5"/>
          <c:order val="14"/>
          <c:tx>
            <c:v>Lead5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Ribs!$U$92:$U$99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Ribs!$V$92:$V$99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6"/>
          <c:order val="15"/>
          <c:tx>
            <c:v>Lead6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Ribs!$X$92:$X$99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Ribs!$Y$92:$Y$99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7"/>
          <c:order val="16"/>
          <c:tx>
            <c:v>Lead7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Ribs!$AA$92:$AA$99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Ribs!$AB$92:$AB$99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8"/>
          <c:order val="17"/>
          <c:tx>
            <c:v>Lead8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Ribs!$AD$92:$AD$99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Ribs!$AE$92:$AE$99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9"/>
          <c:order val="18"/>
          <c:tx>
            <c:v>Lead9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Ribs!$AG$92:$AG$96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Ribs!$AH$92:$AH$96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0"/>
          <c:order val="19"/>
          <c:tx>
            <c:v>Lead10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Ribs!$AJ$92:$AJ$96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Ribs!$AK$92:$AK$96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0"/>
          <c:order val="20"/>
          <c:tx>
            <c:v>Holes1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Ribs!$R$102:$R$104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Ribs!$S$102:$S$104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v>Holes2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Ribs!$U$102:$U$104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Ribs!$V$102:$V$104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2"/>
          <c:order val="22"/>
          <c:tx>
            <c:v>Holes3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Ribs!$X$102:$X$104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Ribs!$Y$102:$Y$104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Holes4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Ribs!$R$88:$R$90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Ribs!$S$88:$S$90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Holes5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Ribs!$U$88:$U$90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Ribs!$V$88:$V$90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5"/>
          <c:order val="25"/>
          <c:tx>
            <c:v>Holes6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Ribs!$X$88:$X$90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Ribs!$Y$88:$Y$90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Holes7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Ribs!$AA$88:$AA$90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Ribs!$AB$88:$AB$90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Holes8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Ribs!$AD$88:$AD$90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Ribs!$AE$88:$AE$90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Holes9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Ribs!$AG$88:$AG$90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Ribs!$AH$88:$AH$90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Holes10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Ribs!$AJ$88:$AJ$90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Ribs!$AK$88:$AK$90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2898356"/>
        <c:axId val="4758613"/>
      </c:scatterChart>
      <c:valAx>
        <c:axId val="22898356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58613"/>
        <c:crosses val="autoZero"/>
        <c:crossBetween val="midCat"/>
        <c:dispUnits/>
      </c:valAx>
      <c:valAx>
        <c:axId val="4758613"/>
        <c:scaling>
          <c:orientation val="minMax"/>
          <c:max val="23"/>
          <c:min val="-23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2898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45"/>
          <c:w val="0.9965"/>
          <c:h val="1"/>
        </c:manualLayout>
      </c:layout>
      <c:scatterChart>
        <c:scatterStyle val="smoothMarker"/>
        <c:varyColors val="0"/>
        <c:ser>
          <c:idx val="3"/>
          <c:order val="0"/>
          <c:tx>
            <c:v>Rib3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Ribs!$O$7:$O$104</c:f>
              <c:numCache>
                <c:ptCount val="98"/>
                <c:pt idx="0">
                  <c:v>39</c:v>
                </c:pt>
                <c:pt idx="1">
                  <c:v>37.28724</c:v>
                </c:pt>
                <c:pt idx="2">
                  <c:v>35.894239999999996</c:v>
                </c:pt>
                <c:pt idx="3">
                  <c:v>34.769760000000005</c:v>
                </c:pt>
                <c:pt idx="4">
                  <c:v>33.86256</c:v>
                </c:pt>
                <c:pt idx="5">
                  <c:v>33.12168</c:v>
                </c:pt>
                <c:pt idx="6">
                  <c:v>32.49588</c:v>
                </c:pt>
                <c:pt idx="7">
                  <c:v>31.9342</c:v>
                </c:pt>
                <c:pt idx="8">
                  <c:v>31.3854</c:v>
                </c:pt>
                <c:pt idx="9">
                  <c:v>30.7988</c:v>
                </c:pt>
                <c:pt idx="10">
                  <c:v>30.122880000000002</c:v>
                </c:pt>
                <c:pt idx="11">
                  <c:v>29.32908</c:v>
                </c:pt>
                <c:pt idx="12">
                  <c:v>28.43196</c:v>
                </c:pt>
                <c:pt idx="13">
                  <c:v>27.450560000000003</c:v>
                </c:pt>
                <c:pt idx="14">
                  <c:v>26.404200000000003</c:v>
                </c:pt>
                <c:pt idx="15">
                  <c:v>25.31192</c:v>
                </c:pt>
                <c:pt idx="16">
                  <c:v>24.19332</c:v>
                </c:pt>
                <c:pt idx="17">
                  <c:v>23.067439999999998</c:v>
                </c:pt>
                <c:pt idx="18">
                  <c:v>21.9536</c:v>
                </c:pt>
                <c:pt idx="19">
                  <c:v>20.87084</c:v>
                </c:pt>
                <c:pt idx="20">
                  <c:v>19.83848</c:v>
                </c:pt>
                <c:pt idx="21">
                  <c:v>18.86576</c:v>
                </c:pt>
                <c:pt idx="22">
                  <c:v>17.9524</c:v>
                </c:pt>
                <c:pt idx="23">
                  <c:v>17.09868</c:v>
                </c:pt>
                <c:pt idx="24">
                  <c:v>16.30404</c:v>
                </c:pt>
                <c:pt idx="25">
                  <c:v>15.56792</c:v>
                </c:pt>
                <c:pt idx="26">
                  <c:v>14.8906</c:v>
                </c:pt>
                <c:pt idx="27">
                  <c:v>14.271519999999999</c:v>
                </c:pt>
                <c:pt idx="28">
                  <c:v>13.71012</c:v>
                </c:pt>
                <c:pt idx="29">
                  <c:v>13.20612</c:v>
                </c:pt>
                <c:pt idx="30">
                  <c:v>12.75952</c:v>
                </c:pt>
                <c:pt idx="31">
                  <c:v>12.36864</c:v>
                </c:pt>
                <c:pt idx="32">
                  <c:v>12.03124</c:v>
                </c:pt>
                <c:pt idx="33">
                  <c:v>11.74536</c:v>
                </c:pt>
                <c:pt idx="34">
                  <c:v>11.50904</c:v>
                </c:pt>
                <c:pt idx="35">
                  <c:v>11.32032</c:v>
                </c:pt>
                <c:pt idx="36">
                  <c:v>11.17724</c:v>
                </c:pt>
                <c:pt idx="37">
                  <c:v>11.07728</c:v>
                </c:pt>
                <c:pt idx="38">
                  <c:v>11.01904</c:v>
                </c:pt>
                <c:pt idx="39">
                  <c:v>11</c:v>
                </c:pt>
                <c:pt idx="40">
                  <c:v>11.00812</c:v>
                </c:pt>
                <c:pt idx="41">
                  <c:v>11.03612</c:v>
                </c:pt>
                <c:pt idx="42">
                  <c:v>11.08932</c:v>
                </c:pt>
                <c:pt idx="43">
                  <c:v>11.17416</c:v>
                </c:pt>
                <c:pt idx="44">
                  <c:v>11.29568</c:v>
                </c:pt>
                <c:pt idx="45">
                  <c:v>11.45948</c:v>
                </c:pt>
                <c:pt idx="46">
                  <c:v>11.67172</c:v>
                </c:pt>
                <c:pt idx="47">
                  <c:v>11.93744</c:v>
                </c:pt>
                <c:pt idx="48">
                  <c:v>12.2628</c:v>
                </c:pt>
                <c:pt idx="49">
                  <c:v>12.6534</c:v>
                </c:pt>
                <c:pt idx="50">
                  <c:v>13.11092</c:v>
                </c:pt>
                <c:pt idx="51">
                  <c:v>13.63172</c:v>
                </c:pt>
                <c:pt idx="52">
                  <c:v>14.2102</c:v>
                </c:pt>
                <c:pt idx="53">
                  <c:v>14.8416</c:v>
                </c:pt>
                <c:pt idx="54">
                  <c:v>15.52032</c:v>
                </c:pt>
                <c:pt idx="55">
                  <c:v>16.241880000000002</c:v>
                </c:pt>
                <c:pt idx="56">
                  <c:v>17.00068</c:v>
                </c:pt>
                <c:pt idx="57">
                  <c:v>17.79196</c:v>
                </c:pt>
                <c:pt idx="58">
                  <c:v>18.6104</c:v>
                </c:pt>
                <c:pt idx="59">
                  <c:v>19.45096</c:v>
                </c:pt>
                <c:pt idx="60">
                  <c:v>20.31056</c:v>
                </c:pt>
                <c:pt idx="61">
                  <c:v>21.18724</c:v>
                </c:pt>
                <c:pt idx="62">
                  <c:v>22.08016</c:v>
                </c:pt>
                <c:pt idx="63">
                  <c:v>22.987360000000002</c:v>
                </c:pt>
                <c:pt idx="64">
                  <c:v>23.90744</c:v>
                </c:pt>
                <c:pt idx="65">
                  <c:v>24.83928</c:v>
                </c:pt>
                <c:pt idx="66">
                  <c:v>25.781200000000002</c:v>
                </c:pt>
                <c:pt idx="67">
                  <c:v>26.73152</c:v>
                </c:pt>
                <c:pt idx="68">
                  <c:v>27.68912</c:v>
                </c:pt>
                <c:pt idx="69">
                  <c:v>28.65316</c:v>
                </c:pt>
                <c:pt idx="70">
                  <c:v>29.6298</c:v>
                </c:pt>
                <c:pt idx="71">
                  <c:v>30.62772</c:v>
                </c:pt>
                <c:pt idx="72">
                  <c:v>31.65672</c:v>
                </c:pt>
                <c:pt idx="73">
                  <c:v>32.72576</c:v>
                </c:pt>
                <c:pt idx="74">
                  <c:v>33.844359999999995</c:v>
                </c:pt>
                <c:pt idx="75">
                  <c:v>35.02176</c:v>
                </c:pt>
                <c:pt idx="76">
                  <c:v>36.267480000000006</c:v>
                </c:pt>
                <c:pt idx="77">
                  <c:v>37.590199999999996</c:v>
                </c:pt>
                <c:pt idx="78">
                  <c:v>39</c:v>
                </c:pt>
                <c:pt idx="79">
                  <c:v>39</c:v>
                </c:pt>
                <c:pt idx="81">
                  <c:v>26.8</c:v>
                </c:pt>
                <c:pt idx="82">
                  <c:v>30.2</c:v>
                </c:pt>
                <c:pt idx="83">
                  <c:v>30.2</c:v>
                </c:pt>
                <c:pt idx="84">
                  <c:v>26.8</c:v>
                </c:pt>
                <c:pt idx="85">
                  <c:v>26.8</c:v>
                </c:pt>
                <c:pt idx="87">
                  <c:v>21.8</c:v>
                </c:pt>
                <c:pt idx="88">
                  <c:v>25.2</c:v>
                </c:pt>
                <c:pt idx="89">
                  <c:v>25.2</c:v>
                </c:pt>
                <c:pt idx="90">
                  <c:v>21.8</c:v>
                </c:pt>
                <c:pt idx="91">
                  <c:v>21.8</c:v>
                </c:pt>
                <c:pt idx="93">
                  <c:v>14.419</c:v>
                </c:pt>
                <c:pt idx="94">
                  <c:v>20.2</c:v>
                </c:pt>
                <c:pt idx="95">
                  <c:v>20.2</c:v>
                </c:pt>
                <c:pt idx="96">
                  <c:v>14.419</c:v>
                </c:pt>
                <c:pt idx="97">
                  <c:v>14.419</c:v>
                </c:pt>
              </c:numCache>
            </c:numRef>
          </c:xVal>
          <c:yVal>
            <c:numRef>
              <c:f>Ribs!$P$7:$P$104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Rib1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Ribs!$I$7:$I$98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Ribs!$J$7:$J$98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Rib2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Ribs!$L$7:$L$105</c:f>
              <c:numCache>
                <c:ptCount val="99"/>
                <c:pt idx="0">
                  <c:v>40.5</c:v>
                </c:pt>
                <c:pt idx="1">
                  <c:v>38.42022</c:v>
                </c:pt>
                <c:pt idx="2">
                  <c:v>36.728719999999996</c:v>
                </c:pt>
                <c:pt idx="3">
                  <c:v>35.36328</c:v>
                </c:pt>
                <c:pt idx="4">
                  <c:v>34.26168</c:v>
                </c:pt>
                <c:pt idx="5">
                  <c:v>33.36204</c:v>
                </c:pt>
                <c:pt idx="6">
                  <c:v>32.60214</c:v>
                </c:pt>
                <c:pt idx="7">
                  <c:v>31.9201</c:v>
                </c:pt>
                <c:pt idx="8">
                  <c:v>31.2537</c:v>
                </c:pt>
                <c:pt idx="9">
                  <c:v>30.5414</c:v>
                </c:pt>
                <c:pt idx="10">
                  <c:v>29.72064</c:v>
                </c:pt>
                <c:pt idx="11">
                  <c:v>28.75674</c:v>
                </c:pt>
                <c:pt idx="12">
                  <c:v>27.667379999999998</c:v>
                </c:pt>
                <c:pt idx="13">
                  <c:v>26.47568</c:v>
                </c:pt>
                <c:pt idx="14">
                  <c:v>25.2051</c:v>
                </c:pt>
                <c:pt idx="15">
                  <c:v>23.87876</c:v>
                </c:pt>
                <c:pt idx="16">
                  <c:v>22.52046</c:v>
                </c:pt>
                <c:pt idx="17">
                  <c:v>21.15332</c:v>
                </c:pt>
                <c:pt idx="18">
                  <c:v>19.8008</c:v>
                </c:pt>
                <c:pt idx="19">
                  <c:v>18.48602</c:v>
                </c:pt>
                <c:pt idx="20">
                  <c:v>17.23244</c:v>
                </c:pt>
                <c:pt idx="21">
                  <c:v>16.05128</c:v>
                </c:pt>
                <c:pt idx="22">
                  <c:v>14.9422</c:v>
                </c:pt>
                <c:pt idx="23">
                  <c:v>13.90554</c:v>
                </c:pt>
                <c:pt idx="24">
                  <c:v>12.94062</c:v>
                </c:pt>
                <c:pt idx="25">
                  <c:v>12.046759999999999</c:v>
                </c:pt>
                <c:pt idx="26">
                  <c:v>11.2243</c:v>
                </c:pt>
                <c:pt idx="27">
                  <c:v>10.47256</c:v>
                </c:pt>
                <c:pt idx="28">
                  <c:v>9.79086</c:v>
                </c:pt>
                <c:pt idx="29">
                  <c:v>9.17886</c:v>
                </c:pt>
                <c:pt idx="30">
                  <c:v>8.63656</c:v>
                </c:pt>
                <c:pt idx="31">
                  <c:v>8.16192</c:v>
                </c:pt>
                <c:pt idx="32">
                  <c:v>7.75222</c:v>
                </c:pt>
                <c:pt idx="33">
                  <c:v>7.40508</c:v>
                </c:pt>
                <c:pt idx="34">
                  <c:v>7.11812</c:v>
                </c:pt>
                <c:pt idx="35">
                  <c:v>6.88896</c:v>
                </c:pt>
                <c:pt idx="36">
                  <c:v>6.71522</c:v>
                </c:pt>
                <c:pt idx="37">
                  <c:v>6.59384</c:v>
                </c:pt>
                <c:pt idx="38">
                  <c:v>6.52312</c:v>
                </c:pt>
                <c:pt idx="39">
                  <c:v>6.5</c:v>
                </c:pt>
                <c:pt idx="40">
                  <c:v>6.50986</c:v>
                </c:pt>
                <c:pt idx="41">
                  <c:v>6.54386</c:v>
                </c:pt>
                <c:pt idx="42">
                  <c:v>6.60846</c:v>
                </c:pt>
                <c:pt idx="43">
                  <c:v>6.71148</c:v>
                </c:pt>
                <c:pt idx="44">
                  <c:v>6.85904</c:v>
                </c:pt>
                <c:pt idx="45">
                  <c:v>7.05794</c:v>
                </c:pt>
                <c:pt idx="46">
                  <c:v>7.31566</c:v>
                </c:pt>
                <c:pt idx="47">
                  <c:v>7.63832</c:v>
                </c:pt>
                <c:pt idx="48">
                  <c:v>8.0334</c:v>
                </c:pt>
                <c:pt idx="49">
                  <c:v>8.5077</c:v>
                </c:pt>
                <c:pt idx="50">
                  <c:v>9.06326</c:v>
                </c:pt>
                <c:pt idx="51">
                  <c:v>9.69566</c:v>
                </c:pt>
                <c:pt idx="52">
                  <c:v>10.3981</c:v>
                </c:pt>
                <c:pt idx="53">
                  <c:v>11.1648</c:v>
                </c:pt>
                <c:pt idx="54">
                  <c:v>11.988959999999999</c:v>
                </c:pt>
                <c:pt idx="55">
                  <c:v>12.86514</c:v>
                </c:pt>
                <c:pt idx="56">
                  <c:v>13.78654</c:v>
                </c:pt>
                <c:pt idx="57">
                  <c:v>14.74738</c:v>
                </c:pt>
                <c:pt idx="58">
                  <c:v>15.7412</c:v>
                </c:pt>
                <c:pt idx="59">
                  <c:v>16.761879999999998</c:v>
                </c:pt>
                <c:pt idx="60">
                  <c:v>17.80568</c:v>
                </c:pt>
                <c:pt idx="61">
                  <c:v>18.87022</c:v>
                </c:pt>
                <c:pt idx="62">
                  <c:v>19.95448</c:v>
                </c:pt>
                <c:pt idx="63">
                  <c:v>21.05608</c:v>
                </c:pt>
                <c:pt idx="64">
                  <c:v>22.17332</c:v>
                </c:pt>
                <c:pt idx="65">
                  <c:v>23.30484</c:v>
                </c:pt>
                <c:pt idx="66">
                  <c:v>24.448600000000003</c:v>
                </c:pt>
                <c:pt idx="67">
                  <c:v>25.60256</c:v>
                </c:pt>
                <c:pt idx="68">
                  <c:v>26.76536</c:v>
                </c:pt>
                <c:pt idx="69">
                  <c:v>27.93598</c:v>
                </c:pt>
                <c:pt idx="70">
                  <c:v>29.1219</c:v>
                </c:pt>
                <c:pt idx="71">
                  <c:v>30.333660000000002</c:v>
                </c:pt>
                <c:pt idx="72">
                  <c:v>31.58316</c:v>
                </c:pt>
                <c:pt idx="73">
                  <c:v>32.881280000000004</c:v>
                </c:pt>
                <c:pt idx="74">
                  <c:v>34.239580000000004</c:v>
                </c:pt>
                <c:pt idx="75">
                  <c:v>35.66928</c:v>
                </c:pt>
                <c:pt idx="76">
                  <c:v>37.18194</c:v>
                </c:pt>
                <c:pt idx="77">
                  <c:v>38.7881</c:v>
                </c:pt>
                <c:pt idx="78">
                  <c:v>40.5</c:v>
                </c:pt>
                <c:pt idx="79">
                  <c:v>40.5</c:v>
                </c:pt>
                <c:pt idx="81">
                  <c:v>26.8</c:v>
                </c:pt>
                <c:pt idx="82">
                  <c:v>30.2</c:v>
                </c:pt>
                <c:pt idx="83">
                  <c:v>30.2</c:v>
                </c:pt>
                <c:pt idx="84">
                  <c:v>26.8</c:v>
                </c:pt>
                <c:pt idx="85">
                  <c:v>26.8</c:v>
                </c:pt>
                <c:pt idx="87">
                  <c:v>21.8</c:v>
                </c:pt>
                <c:pt idx="88">
                  <c:v>25.2</c:v>
                </c:pt>
                <c:pt idx="89">
                  <c:v>25.2</c:v>
                </c:pt>
                <c:pt idx="90">
                  <c:v>21.8</c:v>
                </c:pt>
                <c:pt idx="91">
                  <c:v>21.8</c:v>
                </c:pt>
                <c:pt idx="93">
                  <c:v>9.967</c:v>
                </c:pt>
                <c:pt idx="94">
                  <c:v>15.967</c:v>
                </c:pt>
                <c:pt idx="95">
                  <c:v>20.2</c:v>
                </c:pt>
                <c:pt idx="96">
                  <c:v>20.2</c:v>
                </c:pt>
                <c:pt idx="97">
                  <c:v>9.967</c:v>
                </c:pt>
                <c:pt idx="98">
                  <c:v>9.967</c:v>
                </c:pt>
              </c:numCache>
            </c:numRef>
          </c:xVal>
          <c:yVal>
            <c:numRef>
              <c:f>Ribs!$M$7:$M$105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1"/>
        </c:ser>
        <c:ser>
          <c:idx val="11"/>
          <c:order val="3"/>
          <c:tx>
            <c:v>Lead1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Ribs!$R$106:$R$110</c:f>
              <c:numCache>
                <c:ptCount val="5"/>
                <c:pt idx="0">
                  <c:v>1.2</c:v>
                </c:pt>
                <c:pt idx="1">
                  <c:v>3.691</c:v>
                </c:pt>
                <c:pt idx="2">
                  <c:v>3.691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Ribs!$S$106:$S$110</c:f>
              <c:numCache>
                <c:ptCount val="5"/>
                <c:pt idx="0">
                  <c:v>-14.399999999999999</c:v>
                </c:pt>
                <c:pt idx="1">
                  <c:v>-14.399999999999999</c:v>
                </c:pt>
                <c:pt idx="2">
                  <c:v>-15</c:v>
                </c:pt>
                <c:pt idx="3">
                  <c:v>-15</c:v>
                </c:pt>
                <c:pt idx="4">
                  <c:v>-14.399999999999999</c:v>
                </c:pt>
              </c:numCache>
            </c:numRef>
          </c:yVal>
          <c:smooth val="1"/>
        </c:ser>
        <c:ser>
          <c:idx val="12"/>
          <c:order val="4"/>
          <c:tx>
            <c:v>Lead2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Ribs!$U$106:$U$110</c:f>
              <c:numCache>
                <c:ptCount val="5"/>
                <c:pt idx="0">
                  <c:v>6.5</c:v>
                </c:pt>
                <c:pt idx="1">
                  <c:v>8.967</c:v>
                </c:pt>
                <c:pt idx="2">
                  <c:v>8.967</c:v>
                </c:pt>
                <c:pt idx="3">
                  <c:v>6.5</c:v>
                </c:pt>
                <c:pt idx="4">
                  <c:v>6.5</c:v>
                </c:pt>
              </c:numCache>
            </c:numRef>
          </c:xVal>
          <c:yVal>
            <c:numRef>
              <c:f>Ribs!$V$106:$V$110</c:f>
              <c:numCache>
                <c:ptCount val="5"/>
                <c:pt idx="0">
                  <c:v>-11.399999999999999</c:v>
                </c:pt>
                <c:pt idx="1">
                  <c:v>-11.399999999999999</c:v>
                </c:pt>
                <c:pt idx="2">
                  <c:v>-12</c:v>
                </c:pt>
                <c:pt idx="3">
                  <c:v>-12</c:v>
                </c:pt>
                <c:pt idx="4">
                  <c:v>-11.399999999999999</c:v>
                </c:pt>
              </c:numCache>
            </c:numRef>
          </c:yVal>
          <c:smooth val="1"/>
        </c:ser>
        <c:ser>
          <c:idx val="13"/>
          <c:order val="5"/>
          <c:tx>
            <c:v>Lead3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Ribs!$X$106:$X$110</c:f>
              <c:numCache>
                <c:ptCount val="5"/>
                <c:pt idx="0">
                  <c:v>11</c:v>
                </c:pt>
                <c:pt idx="1">
                  <c:v>13.419</c:v>
                </c:pt>
                <c:pt idx="2">
                  <c:v>13.419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Ribs!$Y$106:$Y$110</c:f>
              <c:numCache>
                <c:ptCount val="5"/>
                <c:pt idx="0">
                  <c:v>-8.399999999999999</c:v>
                </c:pt>
                <c:pt idx="1">
                  <c:v>-8.399999999999999</c:v>
                </c:pt>
                <c:pt idx="2">
                  <c:v>-9</c:v>
                </c:pt>
                <c:pt idx="3">
                  <c:v>-9</c:v>
                </c:pt>
                <c:pt idx="4">
                  <c:v>-8.399999999999999</c:v>
                </c:pt>
              </c:numCache>
            </c:numRef>
          </c:yVal>
          <c:smooth val="1"/>
        </c:ser>
        <c:ser>
          <c:idx val="10"/>
          <c:order val="6"/>
          <c:tx>
            <c:v>Holes1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Ribs!$R$102:$R$104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Ribs!$S$102:$S$104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1"/>
          <c:order val="7"/>
          <c:tx>
            <c:v>Holes2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Ribs!$U$102:$U$104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Ribs!$V$102:$V$104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2"/>
          <c:order val="8"/>
          <c:tx>
            <c:v>Holes3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Ribs!$X$102:$X$104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Ribs!$Y$102:$Y$104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2827518"/>
        <c:axId val="49903343"/>
      </c:scatterChart>
      <c:valAx>
        <c:axId val="42827518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9903343"/>
        <c:crosses val="autoZero"/>
        <c:crossBetween val="midCat"/>
        <c:dispUnits/>
      </c:valAx>
      <c:valAx>
        <c:axId val="49903343"/>
        <c:scaling>
          <c:orientation val="minMax"/>
          <c:max val="-5"/>
          <c:min val="-17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2827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971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Rib6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Final_ribs!$X$7:$X$86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Final_ribs!$Y$7:$Y$86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6"/>
          <c:order val="1"/>
          <c:tx>
            <c:v>Rib7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Final_ribs!$AA$7:$AA$86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Final_ribs!$AB$7:$AB$86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7"/>
          <c:order val="2"/>
          <c:tx>
            <c:v>Rib8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Final_ribs!$AD$7:$AD$86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Final_ribs!$AE$7:$AE$86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8"/>
          <c:order val="3"/>
          <c:tx>
            <c:v>Rib9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Final_ribs!$AG$7:$AG$86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Final_ribs!$AH$7:$AH$86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9"/>
          <c:order val="4"/>
          <c:tx>
            <c:v>Rib10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Final_ribs!$AJ$7:$AJ$86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Final_ribs!$AK$7:$AK$86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Rib5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Final_ribs!$U$7:$U$86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Final_ribs!$V$7:$V$86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15"/>
          <c:order val="6"/>
          <c:tx>
            <c:v>Lead5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Final_ribs!$U$92:$U$99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Final_ribs!$V$92:$V$99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6"/>
          <c:order val="7"/>
          <c:tx>
            <c:v>Lead6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Final_ribs!$X$92:$X$99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Final_ribs!$Y$92:$Y$99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7"/>
          <c:order val="8"/>
          <c:tx>
            <c:v>Lead7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Final_ribs!$AA$92:$AA$99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Final_ribs!$AB$92:$AB$99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8"/>
          <c:order val="9"/>
          <c:tx>
            <c:v>Lead8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Final_ribs!$AD$92:$AD$99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Final_ribs!$AE$92:$AE$99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9"/>
          <c:order val="10"/>
          <c:tx>
            <c:v>Lead9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Final_ribs!$AG$92:$AG$96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Final_ribs!$AH$92:$AH$96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0"/>
          <c:order val="11"/>
          <c:tx>
            <c:v>Lead10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Final_ribs!$AJ$92:$AJ$96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Final_ribs!$AK$92:$AK$96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4"/>
          <c:order val="12"/>
          <c:tx>
            <c:v>Holes5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Final_ribs!$U$88:$U$90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Final_ribs!$V$88:$V$90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5"/>
          <c:order val="13"/>
          <c:tx>
            <c:v>Holes6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Final_ribs!$X$88:$X$90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Final_ribs!$Y$88:$Y$90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6"/>
          <c:order val="14"/>
          <c:tx>
            <c:v>Holes7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Final_ribs!$AA$88:$AA$90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Final_ribs!$AB$88:$AB$90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7"/>
          <c:order val="15"/>
          <c:tx>
            <c:v>Holes8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Final_ribs!$AD$88:$AD$90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Final_ribs!$AE$88:$AE$90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8"/>
          <c:order val="16"/>
          <c:tx>
            <c:v>Holes9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Final_ribs!$AG$88:$AG$90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Final_ribs!$AH$88:$AH$90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9"/>
          <c:order val="17"/>
          <c:tx>
            <c:v>Holes10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Final_ribs!$AJ$88:$AJ$90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Final_ribs!$AK$88:$AK$90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6476904"/>
        <c:axId val="15638953"/>
      </c:scatterChart>
      <c:valAx>
        <c:axId val="46476904"/>
        <c:scaling>
          <c:orientation val="minMax"/>
          <c:max val="38.6"/>
          <c:min val="13.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5638953"/>
        <c:crosses val="autoZero"/>
        <c:crossBetween val="midCat"/>
        <c:dispUnits/>
      </c:valAx>
      <c:valAx>
        <c:axId val="15638953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476904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971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Rib6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Final_ribs!$L$7:$L$110</c:f>
              <c:numCache>
                <c:ptCount val="104"/>
                <c:pt idx="0">
                  <c:v>40.5</c:v>
                </c:pt>
                <c:pt idx="1">
                  <c:v>38.42022</c:v>
                </c:pt>
                <c:pt idx="2">
                  <c:v>36.728719999999996</c:v>
                </c:pt>
                <c:pt idx="3">
                  <c:v>35.36328</c:v>
                </c:pt>
                <c:pt idx="4">
                  <c:v>34.26168</c:v>
                </c:pt>
                <c:pt idx="5">
                  <c:v>33.36204</c:v>
                </c:pt>
                <c:pt idx="6">
                  <c:v>32.60214</c:v>
                </c:pt>
                <c:pt idx="7">
                  <c:v>31.9201</c:v>
                </c:pt>
                <c:pt idx="8">
                  <c:v>31.2537</c:v>
                </c:pt>
                <c:pt idx="9">
                  <c:v>30.5414</c:v>
                </c:pt>
                <c:pt idx="10">
                  <c:v>29.72064</c:v>
                </c:pt>
                <c:pt idx="11">
                  <c:v>28.75674</c:v>
                </c:pt>
                <c:pt idx="12">
                  <c:v>27.667379999999998</c:v>
                </c:pt>
                <c:pt idx="13">
                  <c:v>26.47568</c:v>
                </c:pt>
                <c:pt idx="14">
                  <c:v>25.2051</c:v>
                </c:pt>
                <c:pt idx="15">
                  <c:v>23.87876</c:v>
                </c:pt>
                <c:pt idx="16">
                  <c:v>22.52046</c:v>
                </c:pt>
                <c:pt idx="17">
                  <c:v>21.15332</c:v>
                </c:pt>
                <c:pt idx="18">
                  <c:v>19.8008</c:v>
                </c:pt>
                <c:pt idx="19">
                  <c:v>18.48602</c:v>
                </c:pt>
                <c:pt idx="20">
                  <c:v>17.23244</c:v>
                </c:pt>
                <c:pt idx="21">
                  <c:v>16.05128</c:v>
                </c:pt>
                <c:pt idx="22">
                  <c:v>14.9422</c:v>
                </c:pt>
                <c:pt idx="23">
                  <c:v>13.90554</c:v>
                </c:pt>
                <c:pt idx="24">
                  <c:v>12.94062</c:v>
                </c:pt>
                <c:pt idx="25">
                  <c:v>12.046759999999999</c:v>
                </c:pt>
                <c:pt idx="26">
                  <c:v>11.2243</c:v>
                </c:pt>
                <c:pt idx="27">
                  <c:v>10.47256</c:v>
                </c:pt>
                <c:pt idx="28">
                  <c:v>9.79086</c:v>
                </c:pt>
                <c:pt idx="29">
                  <c:v>9.17886</c:v>
                </c:pt>
                <c:pt idx="30">
                  <c:v>8.63656</c:v>
                </c:pt>
                <c:pt idx="31">
                  <c:v>8.16192</c:v>
                </c:pt>
                <c:pt idx="32">
                  <c:v>7.75222</c:v>
                </c:pt>
                <c:pt idx="33">
                  <c:v>7.40508</c:v>
                </c:pt>
                <c:pt idx="34">
                  <c:v>7.11812</c:v>
                </c:pt>
                <c:pt idx="35">
                  <c:v>6.88896</c:v>
                </c:pt>
                <c:pt idx="36">
                  <c:v>6.71522</c:v>
                </c:pt>
                <c:pt idx="37">
                  <c:v>6.59384</c:v>
                </c:pt>
                <c:pt idx="38">
                  <c:v>6.52312</c:v>
                </c:pt>
                <c:pt idx="39">
                  <c:v>6.5</c:v>
                </c:pt>
                <c:pt idx="40">
                  <c:v>6.50986</c:v>
                </c:pt>
                <c:pt idx="41">
                  <c:v>6.54386</c:v>
                </c:pt>
                <c:pt idx="42">
                  <c:v>6.60846</c:v>
                </c:pt>
                <c:pt idx="43">
                  <c:v>6.71148</c:v>
                </c:pt>
                <c:pt idx="44">
                  <c:v>6.85904</c:v>
                </c:pt>
                <c:pt idx="45">
                  <c:v>7.05794</c:v>
                </c:pt>
                <c:pt idx="46">
                  <c:v>7.31566</c:v>
                </c:pt>
                <c:pt idx="47">
                  <c:v>7.63832</c:v>
                </c:pt>
                <c:pt idx="48">
                  <c:v>8.0334</c:v>
                </c:pt>
                <c:pt idx="49">
                  <c:v>8.5077</c:v>
                </c:pt>
                <c:pt idx="50">
                  <c:v>9.06326</c:v>
                </c:pt>
                <c:pt idx="51">
                  <c:v>9.69566</c:v>
                </c:pt>
                <c:pt idx="52">
                  <c:v>10.3981</c:v>
                </c:pt>
                <c:pt idx="53">
                  <c:v>11.1648</c:v>
                </c:pt>
                <c:pt idx="54">
                  <c:v>11.988959999999999</c:v>
                </c:pt>
                <c:pt idx="55">
                  <c:v>12.86514</c:v>
                </c:pt>
                <c:pt idx="56">
                  <c:v>13.78654</c:v>
                </c:pt>
                <c:pt idx="57">
                  <c:v>14.74738</c:v>
                </c:pt>
                <c:pt idx="58">
                  <c:v>15.7412</c:v>
                </c:pt>
                <c:pt idx="59">
                  <c:v>16.761879999999998</c:v>
                </c:pt>
                <c:pt idx="60">
                  <c:v>17.80568</c:v>
                </c:pt>
                <c:pt idx="61">
                  <c:v>18.87022</c:v>
                </c:pt>
                <c:pt idx="62">
                  <c:v>19.95448</c:v>
                </c:pt>
                <c:pt idx="63">
                  <c:v>21.05608</c:v>
                </c:pt>
                <c:pt idx="64">
                  <c:v>22.17332</c:v>
                </c:pt>
                <c:pt idx="65">
                  <c:v>23.30484</c:v>
                </c:pt>
                <c:pt idx="66">
                  <c:v>24.448600000000003</c:v>
                </c:pt>
                <c:pt idx="67">
                  <c:v>25.60256</c:v>
                </c:pt>
                <c:pt idx="68">
                  <c:v>26.76536</c:v>
                </c:pt>
                <c:pt idx="69">
                  <c:v>27.93598</c:v>
                </c:pt>
                <c:pt idx="70">
                  <c:v>29.1219</c:v>
                </c:pt>
                <c:pt idx="71">
                  <c:v>30.333660000000002</c:v>
                </c:pt>
                <c:pt idx="72">
                  <c:v>31.58316</c:v>
                </c:pt>
                <c:pt idx="73">
                  <c:v>32.881280000000004</c:v>
                </c:pt>
                <c:pt idx="74">
                  <c:v>34.239580000000004</c:v>
                </c:pt>
                <c:pt idx="75">
                  <c:v>35.66928</c:v>
                </c:pt>
                <c:pt idx="76">
                  <c:v>37.18194</c:v>
                </c:pt>
                <c:pt idx="77">
                  <c:v>38.7881</c:v>
                </c:pt>
                <c:pt idx="78">
                  <c:v>40.5</c:v>
                </c:pt>
                <c:pt idx="79">
                  <c:v>40.5</c:v>
                </c:pt>
                <c:pt idx="81">
                  <c:v>26.8</c:v>
                </c:pt>
                <c:pt idx="82">
                  <c:v>30.2</c:v>
                </c:pt>
                <c:pt idx="83">
                  <c:v>30.2</c:v>
                </c:pt>
                <c:pt idx="84">
                  <c:v>26.8</c:v>
                </c:pt>
                <c:pt idx="85">
                  <c:v>26.8</c:v>
                </c:pt>
                <c:pt idx="87">
                  <c:v>21.8</c:v>
                </c:pt>
                <c:pt idx="88">
                  <c:v>25.2</c:v>
                </c:pt>
                <c:pt idx="89">
                  <c:v>25.2</c:v>
                </c:pt>
                <c:pt idx="90">
                  <c:v>21.8</c:v>
                </c:pt>
                <c:pt idx="91">
                  <c:v>21.8</c:v>
                </c:pt>
                <c:pt idx="93">
                  <c:v>10.667</c:v>
                </c:pt>
                <c:pt idx="94">
                  <c:v>15.167</c:v>
                </c:pt>
                <c:pt idx="95">
                  <c:v>15.167</c:v>
                </c:pt>
                <c:pt idx="96">
                  <c:v>10.667</c:v>
                </c:pt>
                <c:pt idx="97">
                  <c:v>10.667</c:v>
                </c:pt>
                <c:pt idx="99">
                  <c:v>16.167</c:v>
                </c:pt>
                <c:pt idx="100">
                  <c:v>20.2</c:v>
                </c:pt>
                <c:pt idx="101">
                  <c:v>20.2</c:v>
                </c:pt>
                <c:pt idx="102">
                  <c:v>16.167</c:v>
                </c:pt>
                <c:pt idx="103">
                  <c:v>16.167</c:v>
                </c:pt>
              </c:numCache>
            </c:numRef>
          </c:xVal>
          <c:yVal>
            <c:numRef>
              <c:f>Final_ribs!$M$7:$M$110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yVal>
          <c:smooth val="1"/>
        </c:ser>
        <c:ser>
          <c:idx val="6"/>
          <c:order val="1"/>
          <c:tx>
            <c:v>Rib7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Final_ribs!$O$7:$O$104</c:f>
              <c:numCache>
                <c:ptCount val="98"/>
                <c:pt idx="0">
                  <c:v>39</c:v>
                </c:pt>
                <c:pt idx="1">
                  <c:v>37.28724</c:v>
                </c:pt>
                <c:pt idx="2">
                  <c:v>35.894239999999996</c:v>
                </c:pt>
                <c:pt idx="3">
                  <c:v>34.769760000000005</c:v>
                </c:pt>
                <c:pt idx="4">
                  <c:v>33.86256</c:v>
                </c:pt>
                <c:pt idx="5">
                  <c:v>33.12168</c:v>
                </c:pt>
                <c:pt idx="6">
                  <c:v>32.49588</c:v>
                </c:pt>
                <c:pt idx="7">
                  <c:v>31.9342</c:v>
                </c:pt>
                <c:pt idx="8">
                  <c:v>31.3854</c:v>
                </c:pt>
                <c:pt idx="9">
                  <c:v>30.7988</c:v>
                </c:pt>
                <c:pt idx="10">
                  <c:v>30.122880000000002</c:v>
                </c:pt>
                <c:pt idx="11">
                  <c:v>29.32908</c:v>
                </c:pt>
                <c:pt idx="12">
                  <c:v>28.43196</c:v>
                </c:pt>
                <c:pt idx="13">
                  <c:v>27.450560000000003</c:v>
                </c:pt>
                <c:pt idx="14">
                  <c:v>26.404200000000003</c:v>
                </c:pt>
                <c:pt idx="15">
                  <c:v>25.31192</c:v>
                </c:pt>
                <c:pt idx="16">
                  <c:v>24.19332</c:v>
                </c:pt>
                <c:pt idx="17">
                  <c:v>23.067439999999998</c:v>
                </c:pt>
                <c:pt idx="18">
                  <c:v>21.9536</c:v>
                </c:pt>
                <c:pt idx="19">
                  <c:v>20.87084</c:v>
                </c:pt>
                <c:pt idx="20">
                  <c:v>19.83848</c:v>
                </c:pt>
                <c:pt idx="21">
                  <c:v>18.86576</c:v>
                </c:pt>
                <c:pt idx="22">
                  <c:v>17.9524</c:v>
                </c:pt>
                <c:pt idx="23">
                  <c:v>17.09868</c:v>
                </c:pt>
                <c:pt idx="24">
                  <c:v>16.30404</c:v>
                </c:pt>
                <c:pt idx="25">
                  <c:v>15.56792</c:v>
                </c:pt>
                <c:pt idx="26">
                  <c:v>14.8906</c:v>
                </c:pt>
                <c:pt idx="27">
                  <c:v>14.271519999999999</c:v>
                </c:pt>
                <c:pt idx="28">
                  <c:v>13.71012</c:v>
                </c:pt>
                <c:pt idx="29">
                  <c:v>13.20612</c:v>
                </c:pt>
                <c:pt idx="30">
                  <c:v>12.75952</c:v>
                </c:pt>
                <c:pt idx="31">
                  <c:v>12.36864</c:v>
                </c:pt>
                <c:pt idx="32">
                  <c:v>12.03124</c:v>
                </c:pt>
                <c:pt idx="33">
                  <c:v>11.74536</c:v>
                </c:pt>
                <c:pt idx="34">
                  <c:v>11.50904</c:v>
                </c:pt>
                <c:pt idx="35">
                  <c:v>11.32032</c:v>
                </c:pt>
                <c:pt idx="36">
                  <c:v>11.17724</c:v>
                </c:pt>
                <c:pt idx="37">
                  <c:v>11.07728</c:v>
                </c:pt>
                <c:pt idx="38">
                  <c:v>11.01904</c:v>
                </c:pt>
                <c:pt idx="39">
                  <c:v>11</c:v>
                </c:pt>
                <c:pt idx="40">
                  <c:v>11.00812</c:v>
                </c:pt>
                <c:pt idx="41">
                  <c:v>11.03612</c:v>
                </c:pt>
                <c:pt idx="42">
                  <c:v>11.08932</c:v>
                </c:pt>
                <c:pt idx="43">
                  <c:v>11.17416</c:v>
                </c:pt>
                <c:pt idx="44">
                  <c:v>11.29568</c:v>
                </c:pt>
                <c:pt idx="45">
                  <c:v>11.45948</c:v>
                </c:pt>
                <c:pt idx="46">
                  <c:v>11.67172</c:v>
                </c:pt>
                <c:pt idx="47">
                  <c:v>11.93744</c:v>
                </c:pt>
                <c:pt idx="48">
                  <c:v>12.2628</c:v>
                </c:pt>
                <c:pt idx="49">
                  <c:v>12.6534</c:v>
                </c:pt>
                <c:pt idx="50">
                  <c:v>13.11092</c:v>
                </c:pt>
                <c:pt idx="51">
                  <c:v>13.63172</c:v>
                </c:pt>
                <c:pt idx="52">
                  <c:v>14.2102</c:v>
                </c:pt>
                <c:pt idx="53">
                  <c:v>14.8416</c:v>
                </c:pt>
                <c:pt idx="54">
                  <c:v>15.52032</c:v>
                </c:pt>
                <c:pt idx="55">
                  <c:v>16.241880000000002</c:v>
                </c:pt>
                <c:pt idx="56">
                  <c:v>17.00068</c:v>
                </c:pt>
                <c:pt idx="57">
                  <c:v>17.79196</c:v>
                </c:pt>
                <c:pt idx="58">
                  <c:v>18.6104</c:v>
                </c:pt>
                <c:pt idx="59">
                  <c:v>19.45096</c:v>
                </c:pt>
                <c:pt idx="60">
                  <c:v>20.31056</c:v>
                </c:pt>
                <c:pt idx="61">
                  <c:v>21.18724</c:v>
                </c:pt>
                <c:pt idx="62">
                  <c:v>22.08016</c:v>
                </c:pt>
                <c:pt idx="63">
                  <c:v>22.987360000000002</c:v>
                </c:pt>
                <c:pt idx="64">
                  <c:v>23.90744</c:v>
                </c:pt>
                <c:pt idx="65">
                  <c:v>24.83928</c:v>
                </c:pt>
                <c:pt idx="66">
                  <c:v>25.781200000000002</c:v>
                </c:pt>
                <c:pt idx="67">
                  <c:v>26.73152</c:v>
                </c:pt>
                <c:pt idx="68">
                  <c:v>27.68912</c:v>
                </c:pt>
                <c:pt idx="69">
                  <c:v>28.65316</c:v>
                </c:pt>
                <c:pt idx="70">
                  <c:v>29.6298</c:v>
                </c:pt>
                <c:pt idx="71">
                  <c:v>30.62772</c:v>
                </c:pt>
                <c:pt idx="72">
                  <c:v>31.65672</c:v>
                </c:pt>
                <c:pt idx="73">
                  <c:v>32.72576</c:v>
                </c:pt>
                <c:pt idx="74">
                  <c:v>33.844359999999995</c:v>
                </c:pt>
                <c:pt idx="75">
                  <c:v>35.02176</c:v>
                </c:pt>
                <c:pt idx="76">
                  <c:v>36.267480000000006</c:v>
                </c:pt>
                <c:pt idx="77">
                  <c:v>37.590199999999996</c:v>
                </c:pt>
                <c:pt idx="78">
                  <c:v>39</c:v>
                </c:pt>
                <c:pt idx="79">
                  <c:v>39</c:v>
                </c:pt>
                <c:pt idx="81">
                  <c:v>26.8</c:v>
                </c:pt>
                <c:pt idx="82">
                  <c:v>30.2</c:v>
                </c:pt>
                <c:pt idx="83">
                  <c:v>30.2</c:v>
                </c:pt>
                <c:pt idx="84">
                  <c:v>26.8</c:v>
                </c:pt>
                <c:pt idx="85">
                  <c:v>26.8</c:v>
                </c:pt>
                <c:pt idx="87">
                  <c:v>21.8</c:v>
                </c:pt>
                <c:pt idx="88">
                  <c:v>25.2</c:v>
                </c:pt>
                <c:pt idx="89">
                  <c:v>25.2</c:v>
                </c:pt>
                <c:pt idx="90">
                  <c:v>21.8</c:v>
                </c:pt>
                <c:pt idx="91">
                  <c:v>21.8</c:v>
                </c:pt>
                <c:pt idx="93">
                  <c:v>14.818999999999999</c:v>
                </c:pt>
                <c:pt idx="94">
                  <c:v>20.2</c:v>
                </c:pt>
                <c:pt idx="95">
                  <c:v>20.2</c:v>
                </c:pt>
                <c:pt idx="96">
                  <c:v>14.818999999999999</c:v>
                </c:pt>
                <c:pt idx="97">
                  <c:v>14.818999999999999</c:v>
                </c:pt>
              </c:numCache>
            </c:numRef>
          </c:xVal>
          <c:yVal>
            <c:numRef>
              <c:f>Final_ribs!$P$7:$P$104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1"/>
        </c:ser>
        <c:ser>
          <c:idx val="7"/>
          <c:order val="2"/>
          <c:tx>
            <c:v>Rib8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Final_ribs!$R$7:$R$86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Final_ribs!$S$7:$S$86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v>Rib5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Final_ribs!$I$7:$I$98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Final_ribs!$J$7:$J$98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15"/>
          <c:order val="4"/>
          <c:tx>
            <c:v>Lead5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Final_ribs!$R$106:$R$110</c:f>
              <c:numCache>
                <c:ptCount val="5"/>
                <c:pt idx="0">
                  <c:v>1.2</c:v>
                </c:pt>
                <c:pt idx="1">
                  <c:v>3.891</c:v>
                </c:pt>
                <c:pt idx="2">
                  <c:v>3.891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Final_ribs!$S$106:$S$110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6"/>
          <c:order val="5"/>
          <c:tx>
            <c:v>Lead6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Final_ribs!$U$106:$U$110</c:f>
              <c:numCache>
                <c:ptCount val="5"/>
                <c:pt idx="0">
                  <c:v>6.5</c:v>
                </c:pt>
                <c:pt idx="1">
                  <c:v>9.167</c:v>
                </c:pt>
                <c:pt idx="2">
                  <c:v>9.167</c:v>
                </c:pt>
                <c:pt idx="3">
                  <c:v>6.5</c:v>
                </c:pt>
                <c:pt idx="4">
                  <c:v>6.5</c:v>
                </c:pt>
              </c:numCache>
            </c:numRef>
          </c:xVal>
          <c:yVal>
            <c:numRef>
              <c:f>Final_ribs!$V$106:$V$110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7"/>
          <c:order val="6"/>
          <c:tx>
            <c:v>Lead7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Final_ribs!$X$106:$X$110</c:f>
              <c:numCache>
                <c:ptCount val="5"/>
                <c:pt idx="0">
                  <c:v>11</c:v>
                </c:pt>
                <c:pt idx="1">
                  <c:v>13.619</c:v>
                </c:pt>
                <c:pt idx="2">
                  <c:v>13.619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Final_ribs!$Y$106:$Y$110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8"/>
          <c:order val="7"/>
          <c:tx>
            <c:v>Lead8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Final_ribs!$R$92:$R$99</c:f>
              <c:numCache>
                <c:ptCount val="8"/>
                <c:pt idx="0">
                  <c:v>12.8</c:v>
                </c:pt>
                <c:pt idx="1">
                  <c:v>15.347000000000001</c:v>
                </c:pt>
                <c:pt idx="2">
                  <c:v>15.347000000000001</c:v>
                </c:pt>
                <c:pt idx="3">
                  <c:v>12.8</c:v>
                </c:pt>
                <c:pt idx="4">
                  <c:v>12.8</c:v>
                </c:pt>
                <c:pt idx="6">
                  <c:v>34.15714285714285</c:v>
                </c:pt>
                <c:pt idx="7">
                  <c:v>34.15714285714285</c:v>
                </c:pt>
              </c:numCache>
            </c:numRef>
          </c:xVal>
          <c:yVal>
            <c:numRef>
              <c:f>Final_ribs!$S$92:$S$99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4"/>
          <c:order val="8"/>
          <c:tx>
            <c:v>Holes5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Final_ribs!$R$88:$R$90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Final_ribs!$S$88:$S$90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5"/>
          <c:order val="9"/>
          <c:tx>
            <c:v>Holes6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Final_ribs!$U$102:$U$104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Final_ribs!$V$102:$V$104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6"/>
          <c:order val="10"/>
          <c:tx>
            <c:v>Holes7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Final_ribs!$X$102:$X$104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Final_ribs!$Y$102:$Y$104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7"/>
          <c:order val="11"/>
          <c:tx>
            <c:v>Holes8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Final_ribs!$R$102:$R$104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Final_ribs!$S$102:$S$104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6532850"/>
        <c:axId val="58795651"/>
      </c:scatterChart>
      <c:valAx>
        <c:axId val="6532850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795651"/>
        <c:crosses val="autoZero"/>
        <c:crossBetween val="midCat"/>
        <c:dispUnits/>
      </c:valAx>
      <c:valAx>
        <c:axId val="58795651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32850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971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Rib6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Final_ribs!$L$7:$L$104</c:f>
              <c:numCache>
                <c:ptCount val="98"/>
                <c:pt idx="0">
                  <c:v>40.5</c:v>
                </c:pt>
                <c:pt idx="1">
                  <c:v>38.42022</c:v>
                </c:pt>
                <c:pt idx="2">
                  <c:v>36.728719999999996</c:v>
                </c:pt>
                <c:pt idx="3">
                  <c:v>35.36328</c:v>
                </c:pt>
                <c:pt idx="4">
                  <c:v>34.26168</c:v>
                </c:pt>
                <c:pt idx="5">
                  <c:v>33.36204</c:v>
                </c:pt>
                <c:pt idx="6">
                  <c:v>32.60214</c:v>
                </c:pt>
                <c:pt idx="7">
                  <c:v>31.9201</c:v>
                </c:pt>
                <c:pt idx="8">
                  <c:v>31.2537</c:v>
                </c:pt>
                <c:pt idx="9">
                  <c:v>30.5414</c:v>
                </c:pt>
                <c:pt idx="10">
                  <c:v>29.72064</c:v>
                </c:pt>
                <c:pt idx="11">
                  <c:v>28.75674</c:v>
                </c:pt>
                <c:pt idx="12">
                  <c:v>27.667379999999998</c:v>
                </c:pt>
                <c:pt idx="13">
                  <c:v>26.47568</c:v>
                </c:pt>
                <c:pt idx="14">
                  <c:v>25.2051</c:v>
                </c:pt>
                <c:pt idx="15">
                  <c:v>23.87876</c:v>
                </c:pt>
                <c:pt idx="16">
                  <c:v>22.52046</c:v>
                </c:pt>
                <c:pt idx="17">
                  <c:v>21.15332</c:v>
                </c:pt>
                <c:pt idx="18">
                  <c:v>19.8008</c:v>
                </c:pt>
                <c:pt idx="19">
                  <c:v>18.48602</c:v>
                </c:pt>
                <c:pt idx="20">
                  <c:v>17.23244</c:v>
                </c:pt>
                <c:pt idx="21">
                  <c:v>16.05128</c:v>
                </c:pt>
                <c:pt idx="22">
                  <c:v>14.9422</c:v>
                </c:pt>
                <c:pt idx="23">
                  <c:v>13.90554</c:v>
                </c:pt>
                <c:pt idx="24">
                  <c:v>12.94062</c:v>
                </c:pt>
                <c:pt idx="25">
                  <c:v>12.046759999999999</c:v>
                </c:pt>
                <c:pt idx="26">
                  <c:v>11.2243</c:v>
                </c:pt>
                <c:pt idx="27">
                  <c:v>10.47256</c:v>
                </c:pt>
                <c:pt idx="28">
                  <c:v>9.79086</c:v>
                </c:pt>
                <c:pt idx="29">
                  <c:v>9.17886</c:v>
                </c:pt>
                <c:pt idx="30">
                  <c:v>8.63656</c:v>
                </c:pt>
                <c:pt idx="31">
                  <c:v>8.16192</c:v>
                </c:pt>
                <c:pt idx="32">
                  <c:v>7.75222</c:v>
                </c:pt>
                <c:pt idx="33">
                  <c:v>7.40508</c:v>
                </c:pt>
                <c:pt idx="34">
                  <c:v>7.11812</c:v>
                </c:pt>
                <c:pt idx="35">
                  <c:v>6.88896</c:v>
                </c:pt>
                <c:pt idx="36">
                  <c:v>6.71522</c:v>
                </c:pt>
                <c:pt idx="37">
                  <c:v>6.59384</c:v>
                </c:pt>
                <c:pt idx="38">
                  <c:v>6.52312</c:v>
                </c:pt>
                <c:pt idx="39">
                  <c:v>6.5</c:v>
                </c:pt>
                <c:pt idx="40">
                  <c:v>6.50986</c:v>
                </c:pt>
                <c:pt idx="41">
                  <c:v>6.54386</c:v>
                </c:pt>
                <c:pt idx="42">
                  <c:v>6.60846</c:v>
                </c:pt>
                <c:pt idx="43">
                  <c:v>6.71148</c:v>
                </c:pt>
                <c:pt idx="44">
                  <c:v>6.85904</c:v>
                </c:pt>
                <c:pt idx="45">
                  <c:v>7.05794</c:v>
                </c:pt>
                <c:pt idx="46">
                  <c:v>7.31566</c:v>
                </c:pt>
                <c:pt idx="47">
                  <c:v>7.63832</c:v>
                </c:pt>
                <c:pt idx="48">
                  <c:v>8.0334</c:v>
                </c:pt>
                <c:pt idx="49">
                  <c:v>8.5077</c:v>
                </c:pt>
                <c:pt idx="50">
                  <c:v>9.06326</c:v>
                </c:pt>
                <c:pt idx="51">
                  <c:v>9.69566</c:v>
                </c:pt>
                <c:pt idx="52">
                  <c:v>10.3981</c:v>
                </c:pt>
                <c:pt idx="53">
                  <c:v>11.1648</c:v>
                </c:pt>
                <c:pt idx="54">
                  <c:v>11.988959999999999</c:v>
                </c:pt>
                <c:pt idx="55">
                  <c:v>12.86514</c:v>
                </c:pt>
                <c:pt idx="56">
                  <c:v>13.78654</c:v>
                </c:pt>
                <c:pt idx="57">
                  <c:v>14.74738</c:v>
                </c:pt>
                <c:pt idx="58">
                  <c:v>15.7412</c:v>
                </c:pt>
                <c:pt idx="59">
                  <c:v>16.761879999999998</c:v>
                </c:pt>
                <c:pt idx="60">
                  <c:v>17.80568</c:v>
                </c:pt>
                <c:pt idx="61">
                  <c:v>18.87022</c:v>
                </c:pt>
                <c:pt idx="62">
                  <c:v>19.95448</c:v>
                </c:pt>
                <c:pt idx="63">
                  <c:v>21.05608</c:v>
                </c:pt>
                <c:pt idx="64">
                  <c:v>22.17332</c:v>
                </c:pt>
                <c:pt idx="65">
                  <c:v>23.30484</c:v>
                </c:pt>
                <c:pt idx="66">
                  <c:v>24.448600000000003</c:v>
                </c:pt>
                <c:pt idx="67">
                  <c:v>25.60256</c:v>
                </c:pt>
                <c:pt idx="68">
                  <c:v>26.76536</c:v>
                </c:pt>
                <c:pt idx="69">
                  <c:v>27.93598</c:v>
                </c:pt>
                <c:pt idx="70">
                  <c:v>29.1219</c:v>
                </c:pt>
                <c:pt idx="71">
                  <c:v>30.333660000000002</c:v>
                </c:pt>
                <c:pt idx="72">
                  <c:v>31.58316</c:v>
                </c:pt>
                <c:pt idx="73">
                  <c:v>32.881280000000004</c:v>
                </c:pt>
                <c:pt idx="74">
                  <c:v>34.239580000000004</c:v>
                </c:pt>
                <c:pt idx="75">
                  <c:v>35.66928</c:v>
                </c:pt>
                <c:pt idx="76">
                  <c:v>37.18194</c:v>
                </c:pt>
                <c:pt idx="77">
                  <c:v>38.7881</c:v>
                </c:pt>
                <c:pt idx="78">
                  <c:v>40.5</c:v>
                </c:pt>
                <c:pt idx="79">
                  <c:v>40.5</c:v>
                </c:pt>
                <c:pt idx="81">
                  <c:v>26.8</c:v>
                </c:pt>
                <c:pt idx="82">
                  <c:v>30.2</c:v>
                </c:pt>
                <c:pt idx="83">
                  <c:v>30.2</c:v>
                </c:pt>
                <c:pt idx="84">
                  <c:v>26.8</c:v>
                </c:pt>
                <c:pt idx="85">
                  <c:v>26.8</c:v>
                </c:pt>
                <c:pt idx="87">
                  <c:v>21.8</c:v>
                </c:pt>
                <c:pt idx="88">
                  <c:v>25.2</c:v>
                </c:pt>
                <c:pt idx="89">
                  <c:v>25.2</c:v>
                </c:pt>
                <c:pt idx="90">
                  <c:v>21.8</c:v>
                </c:pt>
                <c:pt idx="91">
                  <c:v>21.8</c:v>
                </c:pt>
                <c:pt idx="93">
                  <c:v>10.667</c:v>
                </c:pt>
                <c:pt idx="94">
                  <c:v>15.167</c:v>
                </c:pt>
                <c:pt idx="95">
                  <c:v>15.167</c:v>
                </c:pt>
                <c:pt idx="96">
                  <c:v>10.667</c:v>
                </c:pt>
                <c:pt idx="97">
                  <c:v>10.667</c:v>
                </c:pt>
              </c:numCache>
            </c:numRef>
          </c:xVal>
          <c:yVal>
            <c:numRef>
              <c:f>Final_ribs!$M$7:$M$104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1"/>
        </c:ser>
        <c:ser>
          <c:idx val="6"/>
          <c:order val="1"/>
          <c:tx>
            <c:v>Rib7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Final_ribs!$O$7:$O$104</c:f>
              <c:numCache>
                <c:ptCount val="98"/>
                <c:pt idx="0">
                  <c:v>39</c:v>
                </c:pt>
                <c:pt idx="1">
                  <c:v>37.28724</c:v>
                </c:pt>
                <c:pt idx="2">
                  <c:v>35.894239999999996</c:v>
                </c:pt>
                <c:pt idx="3">
                  <c:v>34.769760000000005</c:v>
                </c:pt>
                <c:pt idx="4">
                  <c:v>33.86256</c:v>
                </c:pt>
                <c:pt idx="5">
                  <c:v>33.12168</c:v>
                </c:pt>
                <c:pt idx="6">
                  <c:v>32.49588</c:v>
                </c:pt>
                <c:pt idx="7">
                  <c:v>31.9342</c:v>
                </c:pt>
                <c:pt idx="8">
                  <c:v>31.3854</c:v>
                </c:pt>
                <c:pt idx="9">
                  <c:v>30.7988</c:v>
                </c:pt>
                <c:pt idx="10">
                  <c:v>30.122880000000002</c:v>
                </c:pt>
                <c:pt idx="11">
                  <c:v>29.32908</c:v>
                </c:pt>
                <c:pt idx="12">
                  <c:v>28.43196</c:v>
                </c:pt>
                <c:pt idx="13">
                  <c:v>27.450560000000003</c:v>
                </c:pt>
                <c:pt idx="14">
                  <c:v>26.404200000000003</c:v>
                </c:pt>
                <c:pt idx="15">
                  <c:v>25.31192</c:v>
                </c:pt>
                <c:pt idx="16">
                  <c:v>24.19332</c:v>
                </c:pt>
                <c:pt idx="17">
                  <c:v>23.067439999999998</c:v>
                </c:pt>
                <c:pt idx="18">
                  <c:v>21.9536</c:v>
                </c:pt>
                <c:pt idx="19">
                  <c:v>20.87084</c:v>
                </c:pt>
                <c:pt idx="20">
                  <c:v>19.83848</c:v>
                </c:pt>
                <c:pt idx="21">
                  <c:v>18.86576</c:v>
                </c:pt>
                <c:pt idx="22">
                  <c:v>17.9524</c:v>
                </c:pt>
                <c:pt idx="23">
                  <c:v>17.09868</c:v>
                </c:pt>
                <c:pt idx="24">
                  <c:v>16.30404</c:v>
                </c:pt>
                <c:pt idx="25">
                  <c:v>15.56792</c:v>
                </c:pt>
                <c:pt idx="26">
                  <c:v>14.8906</c:v>
                </c:pt>
                <c:pt idx="27">
                  <c:v>14.271519999999999</c:v>
                </c:pt>
                <c:pt idx="28">
                  <c:v>13.71012</c:v>
                </c:pt>
                <c:pt idx="29">
                  <c:v>13.20612</c:v>
                </c:pt>
                <c:pt idx="30">
                  <c:v>12.75952</c:v>
                </c:pt>
                <c:pt idx="31">
                  <c:v>12.36864</c:v>
                </c:pt>
                <c:pt idx="32">
                  <c:v>12.03124</c:v>
                </c:pt>
                <c:pt idx="33">
                  <c:v>11.74536</c:v>
                </c:pt>
                <c:pt idx="34">
                  <c:v>11.50904</c:v>
                </c:pt>
                <c:pt idx="35">
                  <c:v>11.32032</c:v>
                </c:pt>
                <c:pt idx="36">
                  <c:v>11.17724</c:v>
                </c:pt>
                <c:pt idx="37">
                  <c:v>11.07728</c:v>
                </c:pt>
                <c:pt idx="38">
                  <c:v>11.01904</c:v>
                </c:pt>
                <c:pt idx="39">
                  <c:v>11</c:v>
                </c:pt>
                <c:pt idx="40">
                  <c:v>11.00812</c:v>
                </c:pt>
                <c:pt idx="41">
                  <c:v>11.03612</c:v>
                </c:pt>
                <c:pt idx="42">
                  <c:v>11.08932</c:v>
                </c:pt>
                <c:pt idx="43">
                  <c:v>11.17416</c:v>
                </c:pt>
                <c:pt idx="44">
                  <c:v>11.29568</c:v>
                </c:pt>
                <c:pt idx="45">
                  <c:v>11.45948</c:v>
                </c:pt>
                <c:pt idx="46">
                  <c:v>11.67172</c:v>
                </c:pt>
                <c:pt idx="47">
                  <c:v>11.93744</c:v>
                </c:pt>
                <c:pt idx="48">
                  <c:v>12.2628</c:v>
                </c:pt>
                <c:pt idx="49">
                  <c:v>12.6534</c:v>
                </c:pt>
                <c:pt idx="50">
                  <c:v>13.11092</c:v>
                </c:pt>
                <c:pt idx="51">
                  <c:v>13.63172</c:v>
                </c:pt>
                <c:pt idx="52">
                  <c:v>14.2102</c:v>
                </c:pt>
                <c:pt idx="53">
                  <c:v>14.8416</c:v>
                </c:pt>
                <c:pt idx="54">
                  <c:v>15.52032</c:v>
                </c:pt>
                <c:pt idx="55">
                  <c:v>16.241880000000002</c:v>
                </c:pt>
                <c:pt idx="56">
                  <c:v>17.00068</c:v>
                </c:pt>
                <c:pt idx="57">
                  <c:v>17.79196</c:v>
                </c:pt>
                <c:pt idx="58">
                  <c:v>18.6104</c:v>
                </c:pt>
                <c:pt idx="59">
                  <c:v>19.45096</c:v>
                </c:pt>
                <c:pt idx="60">
                  <c:v>20.31056</c:v>
                </c:pt>
                <c:pt idx="61">
                  <c:v>21.18724</c:v>
                </c:pt>
                <c:pt idx="62">
                  <c:v>22.08016</c:v>
                </c:pt>
                <c:pt idx="63">
                  <c:v>22.987360000000002</c:v>
                </c:pt>
                <c:pt idx="64">
                  <c:v>23.90744</c:v>
                </c:pt>
                <c:pt idx="65">
                  <c:v>24.83928</c:v>
                </c:pt>
                <c:pt idx="66">
                  <c:v>25.781200000000002</c:v>
                </c:pt>
                <c:pt idx="67">
                  <c:v>26.73152</c:v>
                </c:pt>
                <c:pt idx="68">
                  <c:v>27.68912</c:v>
                </c:pt>
                <c:pt idx="69">
                  <c:v>28.65316</c:v>
                </c:pt>
                <c:pt idx="70">
                  <c:v>29.6298</c:v>
                </c:pt>
                <c:pt idx="71">
                  <c:v>30.62772</c:v>
                </c:pt>
                <c:pt idx="72">
                  <c:v>31.65672</c:v>
                </c:pt>
                <c:pt idx="73">
                  <c:v>32.72576</c:v>
                </c:pt>
                <c:pt idx="74">
                  <c:v>33.844359999999995</c:v>
                </c:pt>
                <c:pt idx="75">
                  <c:v>35.02176</c:v>
                </c:pt>
                <c:pt idx="76">
                  <c:v>36.267480000000006</c:v>
                </c:pt>
                <c:pt idx="77">
                  <c:v>37.590199999999996</c:v>
                </c:pt>
                <c:pt idx="78">
                  <c:v>39</c:v>
                </c:pt>
                <c:pt idx="79">
                  <c:v>39</c:v>
                </c:pt>
                <c:pt idx="81">
                  <c:v>26.8</c:v>
                </c:pt>
                <c:pt idx="82">
                  <c:v>30.2</c:v>
                </c:pt>
                <c:pt idx="83">
                  <c:v>30.2</c:v>
                </c:pt>
                <c:pt idx="84">
                  <c:v>26.8</c:v>
                </c:pt>
                <c:pt idx="85">
                  <c:v>26.8</c:v>
                </c:pt>
                <c:pt idx="87">
                  <c:v>21.8</c:v>
                </c:pt>
                <c:pt idx="88">
                  <c:v>25.2</c:v>
                </c:pt>
                <c:pt idx="89">
                  <c:v>25.2</c:v>
                </c:pt>
                <c:pt idx="90">
                  <c:v>21.8</c:v>
                </c:pt>
                <c:pt idx="91">
                  <c:v>21.8</c:v>
                </c:pt>
                <c:pt idx="93">
                  <c:v>14.818999999999999</c:v>
                </c:pt>
                <c:pt idx="94">
                  <c:v>20.2</c:v>
                </c:pt>
                <c:pt idx="95">
                  <c:v>20.2</c:v>
                </c:pt>
                <c:pt idx="96">
                  <c:v>14.818999999999999</c:v>
                </c:pt>
                <c:pt idx="97">
                  <c:v>14.818999999999999</c:v>
                </c:pt>
              </c:numCache>
            </c:numRef>
          </c:xVal>
          <c:yVal>
            <c:numRef>
              <c:f>Final_ribs!$P$7:$P$104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1"/>
        </c:ser>
        <c:ser>
          <c:idx val="7"/>
          <c:order val="2"/>
          <c:tx>
            <c:v>Rib8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Final_ribs!$R$7:$R$86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Final_ribs!$S$7:$S$86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v>Rib5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Final_ribs!$I$7:$I$98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Final_ribs!$J$7:$J$98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15"/>
          <c:order val="4"/>
          <c:tx>
            <c:v>Lead5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Final_ribs!$R$106:$R$110</c:f>
              <c:numCache>
                <c:ptCount val="5"/>
                <c:pt idx="0">
                  <c:v>1.2</c:v>
                </c:pt>
                <c:pt idx="1">
                  <c:v>3.891</c:v>
                </c:pt>
                <c:pt idx="2">
                  <c:v>3.891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Final_ribs!$S$106:$S$110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6"/>
          <c:order val="5"/>
          <c:tx>
            <c:v>Lead6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Final_ribs!$U$106:$U$110</c:f>
              <c:numCache>
                <c:ptCount val="5"/>
                <c:pt idx="0">
                  <c:v>6.5</c:v>
                </c:pt>
                <c:pt idx="1">
                  <c:v>9.167</c:v>
                </c:pt>
                <c:pt idx="2">
                  <c:v>9.167</c:v>
                </c:pt>
                <c:pt idx="3">
                  <c:v>6.5</c:v>
                </c:pt>
                <c:pt idx="4">
                  <c:v>6.5</c:v>
                </c:pt>
              </c:numCache>
            </c:numRef>
          </c:xVal>
          <c:yVal>
            <c:numRef>
              <c:f>Final_ribs!$V$106:$V$110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7"/>
          <c:order val="6"/>
          <c:tx>
            <c:v>Lead7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Final_ribs!$X$106:$X$110</c:f>
              <c:numCache>
                <c:ptCount val="5"/>
                <c:pt idx="0">
                  <c:v>11</c:v>
                </c:pt>
                <c:pt idx="1">
                  <c:v>13.619</c:v>
                </c:pt>
                <c:pt idx="2">
                  <c:v>13.619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Final_ribs!$Y$106:$Y$110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8"/>
          <c:order val="7"/>
          <c:tx>
            <c:v>Lead8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Final_ribs!$R$92:$R$99</c:f>
              <c:numCache>
                <c:ptCount val="8"/>
                <c:pt idx="0">
                  <c:v>12.8</c:v>
                </c:pt>
                <c:pt idx="1">
                  <c:v>15.347000000000001</c:v>
                </c:pt>
                <c:pt idx="2">
                  <c:v>15.347000000000001</c:v>
                </c:pt>
                <c:pt idx="3">
                  <c:v>12.8</c:v>
                </c:pt>
                <c:pt idx="4">
                  <c:v>12.8</c:v>
                </c:pt>
                <c:pt idx="6">
                  <c:v>34.15714285714285</c:v>
                </c:pt>
                <c:pt idx="7">
                  <c:v>34.15714285714285</c:v>
                </c:pt>
              </c:numCache>
            </c:numRef>
          </c:xVal>
          <c:yVal>
            <c:numRef>
              <c:f>Final_ribs!$S$92:$S$99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4"/>
          <c:order val="8"/>
          <c:tx>
            <c:v>Holes5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Final_ribs!$R$88:$R$90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Final_ribs!$S$88:$S$90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5"/>
          <c:order val="9"/>
          <c:tx>
            <c:v>Holes6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Final_ribs!$U$102:$U$104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Final_ribs!$V$102:$V$104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6"/>
          <c:order val="10"/>
          <c:tx>
            <c:v>Holes7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Final_ribs!$X$102:$X$104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Final_ribs!$Y$102:$Y$104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7"/>
          <c:order val="11"/>
          <c:tx>
            <c:v>Holes8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Final_ribs!$R$102:$R$104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Final_ribs!$S$102:$S$104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9398812"/>
        <c:axId val="64827261"/>
      </c:scatterChart>
      <c:valAx>
        <c:axId val="59398812"/>
        <c:scaling>
          <c:orientation val="minMax"/>
          <c:max val="50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827261"/>
        <c:crosses val="autoZero"/>
        <c:crossBetween val="midCat"/>
        <c:dispUnits/>
      </c:valAx>
      <c:valAx>
        <c:axId val="64827261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398812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11</xdr:col>
      <xdr:colOff>438150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0" y="301942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39</xdr:row>
      <xdr:rowOff>76200</xdr:rowOff>
    </xdr:from>
    <xdr:to>
      <xdr:col>12</xdr:col>
      <xdr:colOff>438150</xdr:colOff>
      <xdr:row>76</xdr:row>
      <xdr:rowOff>114300</xdr:rowOff>
    </xdr:to>
    <xdr:graphicFrame>
      <xdr:nvGraphicFramePr>
        <xdr:cNvPr id="2" name="Chart 3"/>
        <xdr:cNvGraphicFramePr/>
      </xdr:nvGraphicFramePr>
      <xdr:xfrm>
        <a:off x="1066800" y="6391275"/>
        <a:ext cx="706755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66675</xdr:rowOff>
    </xdr:from>
    <xdr:to>
      <xdr:col>14</xdr:col>
      <xdr:colOff>295275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1590675" y="876300"/>
        <a:ext cx="7239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72</xdr:row>
      <xdr:rowOff>47625</xdr:rowOff>
    </xdr:from>
    <xdr:to>
      <xdr:col>20</xdr:col>
      <xdr:colOff>247650</xdr:colOff>
      <xdr:row>85</xdr:row>
      <xdr:rowOff>85725</xdr:rowOff>
    </xdr:to>
    <xdr:graphicFrame>
      <xdr:nvGraphicFramePr>
        <xdr:cNvPr id="2" name="Chart 3"/>
        <xdr:cNvGraphicFramePr/>
      </xdr:nvGraphicFramePr>
      <xdr:xfrm>
        <a:off x="3752850" y="11706225"/>
        <a:ext cx="86868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51</xdr:row>
      <xdr:rowOff>142875</xdr:rowOff>
    </xdr:from>
    <xdr:to>
      <xdr:col>44</xdr:col>
      <xdr:colOff>285750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20097750" y="8401050"/>
        <a:ext cx="70104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51</xdr:row>
      <xdr:rowOff>123825</xdr:rowOff>
    </xdr:from>
    <xdr:to>
      <xdr:col>21</xdr:col>
      <xdr:colOff>66675</xdr:colOff>
      <xdr:row>78</xdr:row>
      <xdr:rowOff>66675</xdr:rowOff>
    </xdr:to>
    <xdr:graphicFrame>
      <xdr:nvGraphicFramePr>
        <xdr:cNvPr id="2" name="Chart 6"/>
        <xdr:cNvGraphicFramePr/>
      </xdr:nvGraphicFramePr>
      <xdr:xfrm>
        <a:off x="5848350" y="8382000"/>
        <a:ext cx="7019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123825</xdr:colOff>
      <xdr:row>51</xdr:row>
      <xdr:rowOff>123825</xdr:rowOff>
    </xdr:from>
    <xdr:to>
      <xdr:col>32</xdr:col>
      <xdr:colOff>447675</xdr:colOff>
      <xdr:row>78</xdr:row>
      <xdr:rowOff>76200</xdr:rowOff>
    </xdr:to>
    <xdr:graphicFrame>
      <xdr:nvGraphicFramePr>
        <xdr:cNvPr id="3" name="Chart 7"/>
        <xdr:cNvGraphicFramePr/>
      </xdr:nvGraphicFramePr>
      <xdr:xfrm>
        <a:off x="12925425" y="8382000"/>
        <a:ext cx="70294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tabSelected="1" workbookViewId="0" topLeftCell="A4">
      <selection activeCell="O20" sqref="O20"/>
    </sheetView>
  </sheetViews>
  <sheetFormatPr defaultColWidth="9.140625" defaultRowHeight="12.75"/>
  <cols>
    <col min="1" max="1" width="14.8515625" style="0" customWidth="1"/>
    <col min="16" max="16" width="10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</v>
      </c>
      <c r="B4" s="1">
        <v>10</v>
      </c>
      <c r="H4" s="1"/>
      <c r="I4" s="1" t="s">
        <v>35</v>
      </c>
      <c r="J4" s="1">
        <v>0.36</v>
      </c>
    </row>
    <row r="5" spans="1:10" ht="12.75">
      <c r="A5" s="1" t="s">
        <v>4</v>
      </c>
      <c r="B5" s="1">
        <v>0.4</v>
      </c>
      <c r="H5" s="1"/>
      <c r="I5" s="1" t="s">
        <v>37</v>
      </c>
      <c r="J5" s="1">
        <v>0.33</v>
      </c>
    </row>
    <row r="6" spans="1:10" ht="12.75">
      <c r="A6" s="1"/>
      <c r="B6" s="1"/>
      <c r="C6" s="1" t="s">
        <v>0</v>
      </c>
      <c r="D6" s="1" t="s">
        <v>6</v>
      </c>
      <c r="E6" s="2" t="s">
        <v>5</v>
      </c>
      <c r="F6" s="1" t="s">
        <v>1</v>
      </c>
      <c r="G6" s="1" t="s">
        <v>2</v>
      </c>
      <c r="H6" s="1" t="s">
        <v>7</v>
      </c>
      <c r="I6" s="1" t="s">
        <v>36</v>
      </c>
      <c r="J6" s="1"/>
    </row>
    <row r="7" spans="1:46" ht="12.75">
      <c r="A7" s="1"/>
      <c r="B7" s="1"/>
      <c r="C7" s="1"/>
      <c r="D7" s="1"/>
      <c r="E7" s="1"/>
      <c r="F7" s="1"/>
      <c r="G7" s="1"/>
      <c r="H7" s="1"/>
      <c r="J7" t="s">
        <v>38</v>
      </c>
      <c r="L7" s="1">
        <f>$C7</f>
        <v>0</v>
      </c>
      <c r="M7" s="1">
        <f>L7</f>
        <v>0</v>
      </c>
      <c r="O7" s="1">
        <f>$C8</f>
        <v>0</v>
      </c>
      <c r="P7" s="1">
        <f>O7</f>
        <v>0</v>
      </c>
      <c r="R7" s="1">
        <f>$C9</f>
        <v>3.5</v>
      </c>
      <c r="S7" s="1">
        <f>R7</f>
        <v>3.5</v>
      </c>
      <c r="U7" s="1">
        <f>$C10</f>
        <v>8</v>
      </c>
      <c r="V7" s="1">
        <f>U7</f>
        <v>8</v>
      </c>
      <c r="X7" s="1">
        <f>$C11</f>
        <v>16</v>
      </c>
      <c r="Y7" s="1">
        <f>X7</f>
        <v>16</v>
      </c>
      <c r="AA7" s="1">
        <f>$C12</f>
        <v>24</v>
      </c>
      <c r="AB7" s="1">
        <f>AA7</f>
        <v>24</v>
      </c>
      <c r="AD7" s="1">
        <f>$C13</f>
        <v>32</v>
      </c>
      <c r="AE7" s="1">
        <f>AD7</f>
        <v>32</v>
      </c>
      <c r="AG7" s="1">
        <f>$C14</f>
        <v>40</v>
      </c>
      <c r="AH7" s="1">
        <f>AG7</f>
        <v>40</v>
      </c>
      <c r="AJ7" s="1">
        <f>$C15</f>
        <v>48</v>
      </c>
      <c r="AK7" s="1">
        <f>AJ7</f>
        <v>48</v>
      </c>
      <c r="AM7" s="1">
        <f>$C16</f>
        <v>56</v>
      </c>
      <c r="AN7" s="1">
        <f>AM7</f>
        <v>56</v>
      </c>
      <c r="AP7" s="1">
        <f>$C17</f>
        <v>61</v>
      </c>
      <c r="AQ7" s="1">
        <f>AP7</f>
        <v>61</v>
      </c>
      <c r="AS7" s="1">
        <f>$C18</f>
        <v>65</v>
      </c>
      <c r="AT7" s="1">
        <f>AS7</f>
        <v>65</v>
      </c>
    </row>
    <row r="8" spans="1:46" ht="12.75">
      <c r="A8" s="1"/>
      <c r="B8" s="1"/>
      <c r="C8" s="1">
        <v>0</v>
      </c>
      <c r="D8" s="1"/>
      <c r="E8" s="1">
        <v>48</v>
      </c>
      <c r="F8" s="1">
        <v>0</v>
      </c>
      <c r="G8" s="1">
        <f>-E8</f>
        <v>-48</v>
      </c>
      <c r="H8" s="1">
        <f aca="true" t="shared" si="0" ref="H8:H17">-C8</f>
        <v>0</v>
      </c>
      <c r="I8" s="1">
        <v>2.7</v>
      </c>
      <c r="K8">
        <f>F8-I8</f>
        <v>-2.7</v>
      </c>
      <c r="L8" s="1">
        <f>F7</f>
        <v>0</v>
      </c>
      <c r="M8" s="1">
        <f>G7</f>
        <v>0</v>
      </c>
      <c r="O8" s="1">
        <f>$F8</f>
        <v>0</v>
      </c>
      <c r="P8" s="1">
        <f>$G8</f>
        <v>-48</v>
      </c>
      <c r="R8" s="1">
        <f>$F9</f>
        <v>-1.2</v>
      </c>
      <c r="S8" s="1">
        <f>$G9</f>
        <v>-43.7</v>
      </c>
      <c r="U8" s="1">
        <f>$F10</f>
        <v>-6.5</v>
      </c>
      <c r="V8" s="1">
        <f>$G10</f>
        <v>-40.5</v>
      </c>
      <c r="X8" s="1">
        <f>$F11</f>
        <v>-11</v>
      </c>
      <c r="Y8" s="1">
        <f>$G11</f>
        <v>-39</v>
      </c>
      <c r="AA8" s="1">
        <f>$F12</f>
        <v>-12.8</v>
      </c>
      <c r="AB8" s="1">
        <f>$G12</f>
        <v>-38.8</v>
      </c>
      <c r="AD8" s="1">
        <f>$F13</f>
        <v>-13.6</v>
      </c>
      <c r="AE8" s="1">
        <f>$G13</f>
        <v>-38.6</v>
      </c>
      <c r="AG8" s="1">
        <f>$F14</f>
        <v>-14.4</v>
      </c>
      <c r="AH8" s="1">
        <f>$G14</f>
        <v>-38.4</v>
      </c>
      <c r="AJ8" s="1">
        <f>$F15</f>
        <v>-15.2</v>
      </c>
      <c r="AK8" s="1">
        <f>$G15</f>
        <v>-38.2</v>
      </c>
      <c r="AM8" s="1">
        <f>$F16</f>
        <v>-16</v>
      </c>
      <c r="AN8" s="1">
        <f>$G16</f>
        <v>-38</v>
      </c>
      <c r="AP8" s="1">
        <f>$F17</f>
        <v>-17.2</v>
      </c>
      <c r="AQ8" s="1">
        <f>$G17</f>
        <v>-37.7</v>
      </c>
      <c r="AS8" s="1">
        <f>$F18</f>
        <v>-19.1</v>
      </c>
      <c r="AT8" s="1">
        <f>$G18</f>
        <v>-37.1</v>
      </c>
    </row>
    <row r="9" spans="1:46" ht="12.75">
      <c r="A9" s="1"/>
      <c r="B9" s="1" t="s">
        <v>18</v>
      </c>
      <c r="C9" s="1">
        <f>D9</f>
        <v>3.5</v>
      </c>
      <c r="D9" s="1">
        <v>3.5</v>
      </c>
      <c r="E9" s="1">
        <v>42.5</v>
      </c>
      <c r="F9" s="1">
        <v>-1.2</v>
      </c>
      <c r="G9" s="1">
        <f aca="true" t="shared" si="1" ref="G9:G16">F9-E9</f>
        <v>-43.7</v>
      </c>
      <c r="H9" s="1">
        <f t="shared" si="0"/>
        <v>-3.5</v>
      </c>
      <c r="I9" s="1">
        <f>I8-0.003*C9</f>
        <v>2.6895000000000002</v>
      </c>
      <c r="K9">
        <f aca="true" t="shared" si="2" ref="K9:K18">F9-I9</f>
        <v>-3.8895</v>
      </c>
      <c r="L9" s="1">
        <f>-L7</f>
        <v>0</v>
      </c>
      <c r="M9" s="1">
        <f>-M7</f>
        <v>0</v>
      </c>
      <c r="N9" s="1"/>
      <c r="O9" s="1">
        <f>-O7</f>
        <v>0</v>
      </c>
      <c r="P9" s="1">
        <f>-P7</f>
        <v>0</v>
      </c>
      <c r="R9" s="1">
        <f>-R7</f>
        <v>-3.5</v>
      </c>
      <c r="S9" s="1">
        <f aca="true" t="shared" si="3" ref="S9:AT9">-S7</f>
        <v>-3.5</v>
      </c>
      <c r="T9" s="1"/>
      <c r="U9" s="1">
        <f t="shared" si="3"/>
        <v>-8</v>
      </c>
      <c r="V9" s="1">
        <f t="shared" si="3"/>
        <v>-8</v>
      </c>
      <c r="W9" s="1"/>
      <c r="X9" s="1">
        <f t="shared" si="3"/>
        <v>-16</v>
      </c>
      <c r="Y9" s="1">
        <f t="shared" si="3"/>
        <v>-16</v>
      </c>
      <c r="Z9" s="1"/>
      <c r="AA9" s="1">
        <f t="shared" si="3"/>
        <v>-24</v>
      </c>
      <c r="AB9" s="1">
        <f t="shared" si="3"/>
        <v>-24</v>
      </c>
      <c r="AC9" s="1"/>
      <c r="AD9" s="1">
        <f t="shared" si="3"/>
        <v>-32</v>
      </c>
      <c r="AE9" s="1">
        <f t="shared" si="3"/>
        <v>-32</v>
      </c>
      <c r="AF9" s="1"/>
      <c r="AG9" s="1">
        <f t="shared" si="3"/>
        <v>-40</v>
      </c>
      <c r="AH9" s="1">
        <f t="shared" si="3"/>
        <v>-40</v>
      </c>
      <c r="AI9" s="1"/>
      <c r="AJ9" s="1">
        <f t="shared" si="3"/>
        <v>-48</v>
      </c>
      <c r="AK9" s="1">
        <f t="shared" si="3"/>
        <v>-48</v>
      </c>
      <c r="AL9" s="1"/>
      <c r="AM9" s="1">
        <f t="shared" si="3"/>
        <v>-56</v>
      </c>
      <c r="AN9" s="1">
        <f t="shared" si="3"/>
        <v>-56</v>
      </c>
      <c r="AO9" s="1"/>
      <c r="AP9" s="1">
        <f t="shared" si="3"/>
        <v>-61</v>
      </c>
      <c r="AQ9" s="1">
        <f t="shared" si="3"/>
        <v>-61</v>
      </c>
      <c r="AR9" s="1"/>
      <c r="AS9" s="1">
        <f t="shared" si="3"/>
        <v>-65</v>
      </c>
      <c r="AT9" s="1">
        <f t="shared" si="3"/>
        <v>-65</v>
      </c>
    </row>
    <row r="10" spans="1:11" ht="12.75">
      <c r="A10" s="1"/>
      <c r="B10" s="1" t="s">
        <v>19</v>
      </c>
      <c r="C10" s="1">
        <f>C9+D10</f>
        <v>8</v>
      </c>
      <c r="D10" s="1">
        <v>4.5</v>
      </c>
      <c r="E10" s="1">
        <v>34</v>
      </c>
      <c r="F10" s="1">
        <v>-6.5</v>
      </c>
      <c r="G10" s="1">
        <f t="shared" si="1"/>
        <v>-40.5</v>
      </c>
      <c r="H10" s="1">
        <f t="shared" si="0"/>
        <v>-8</v>
      </c>
      <c r="I10" s="1">
        <f aca="true" t="shared" si="4" ref="I10:I18">I9-0.003*C10</f>
        <v>2.6655</v>
      </c>
      <c r="J10" s="1"/>
      <c r="K10">
        <f t="shared" si="2"/>
        <v>-9.1655</v>
      </c>
    </row>
    <row r="11" spans="1:18" ht="12.75">
      <c r="A11" s="1"/>
      <c r="B11" s="1" t="s">
        <v>20</v>
      </c>
      <c r="C11" s="1">
        <f aca="true" t="shared" si="5" ref="C11:C17">C10+D11</f>
        <v>16</v>
      </c>
      <c r="D11" s="1">
        <v>8</v>
      </c>
      <c r="E11" s="1">
        <v>28</v>
      </c>
      <c r="F11" s="1">
        <v>-11</v>
      </c>
      <c r="G11" s="1">
        <f t="shared" si="1"/>
        <v>-39</v>
      </c>
      <c r="H11" s="1">
        <f t="shared" si="0"/>
        <v>-16</v>
      </c>
      <c r="I11" s="1">
        <f t="shared" si="4"/>
        <v>2.6175</v>
      </c>
      <c r="J11" s="1">
        <v>5</v>
      </c>
      <c r="K11">
        <f t="shared" si="2"/>
        <v>-13.6175</v>
      </c>
      <c r="P11" s="3" t="s">
        <v>10</v>
      </c>
      <c r="Q11" s="4" t="s">
        <v>8</v>
      </c>
      <c r="R11" s="5" t="s">
        <v>9</v>
      </c>
    </row>
    <row r="12" spans="1:18" ht="12.75">
      <c r="A12" s="1"/>
      <c r="B12" s="1" t="s">
        <v>21</v>
      </c>
      <c r="C12" s="1">
        <f t="shared" si="5"/>
        <v>24</v>
      </c>
      <c r="D12" s="1">
        <v>8</v>
      </c>
      <c r="E12" s="1">
        <v>26</v>
      </c>
      <c r="F12" s="1">
        <v>-12.8</v>
      </c>
      <c r="G12" s="1">
        <f t="shared" si="1"/>
        <v>-38.8</v>
      </c>
      <c r="H12" s="1">
        <f t="shared" si="0"/>
        <v>-24</v>
      </c>
      <c r="I12" s="1">
        <f t="shared" si="4"/>
        <v>2.5455</v>
      </c>
      <c r="J12" s="15">
        <f aca="true" t="shared" si="6" ref="J12:J17">J11*(1-(E11-E12)/E11)</f>
        <v>4.642857142857143</v>
      </c>
      <c r="K12">
        <f t="shared" si="2"/>
        <v>-15.345500000000001</v>
      </c>
      <c r="P12" s="6">
        <f>C7</f>
        <v>0</v>
      </c>
      <c r="Q12" s="7">
        <v>-21</v>
      </c>
      <c r="R12" s="8">
        <v>-31</v>
      </c>
    </row>
    <row r="13" spans="1:18" ht="12.75">
      <c r="A13" s="1"/>
      <c r="B13" s="1" t="s">
        <v>22</v>
      </c>
      <c r="C13" s="1">
        <f t="shared" si="5"/>
        <v>32</v>
      </c>
      <c r="D13" s="1">
        <v>8</v>
      </c>
      <c r="E13" s="1">
        <v>25</v>
      </c>
      <c r="F13" s="1">
        <v>-13.6</v>
      </c>
      <c r="G13" s="1">
        <f t="shared" si="1"/>
        <v>-38.6</v>
      </c>
      <c r="H13" s="1">
        <f t="shared" si="0"/>
        <v>-32</v>
      </c>
      <c r="I13" s="1">
        <f t="shared" si="4"/>
        <v>2.4495</v>
      </c>
      <c r="J13" s="16">
        <f t="shared" si="6"/>
        <v>4.464285714285714</v>
      </c>
      <c r="K13">
        <f t="shared" si="2"/>
        <v>-16.0495</v>
      </c>
      <c r="P13" s="9">
        <f>C18</f>
        <v>65</v>
      </c>
      <c r="Q13" s="7">
        <f>Q12</f>
        <v>-21</v>
      </c>
      <c r="R13" s="8">
        <f>R12</f>
        <v>-31</v>
      </c>
    </row>
    <row r="14" spans="1:18" ht="12.75">
      <c r="A14" s="1"/>
      <c r="B14" s="1" t="s">
        <v>29</v>
      </c>
      <c r="C14" s="1">
        <f t="shared" si="5"/>
        <v>40</v>
      </c>
      <c r="D14" s="1">
        <v>8</v>
      </c>
      <c r="E14" s="1">
        <v>24</v>
      </c>
      <c r="F14" s="1">
        <v>-14.4</v>
      </c>
      <c r="G14" s="1">
        <f t="shared" si="1"/>
        <v>-38.4</v>
      </c>
      <c r="H14" s="1">
        <f t="shared" si="0"/>
        <v>-40</v>
      </c>
      <c r="I14" s="1">
        <f t="shared" si="4"/>
        <v>2.3295</v>
      </c>
      <c r="J14" s="16">
        <f t="shared" si="6"/>
        <v>4.285714285714286</v>
      </c>
      <c r="K14">
        <f t="shared" si="2"/>
        <v>-16.7295</v>
      </c>
      <c r="P14" s="1" t="s">
        <v>25</v>
      </c>
      <c r="Q14" s="1">
        <f>(Q13-Q12)/($P13-$P12)</f>
        <v>0</v>
      </c>
      <c r="R14" s="1">
        <f>(R13-R12)/($P13-$P12)</f>
        <v>0</v>
      </c>
    </row>
    <row r="15" spans="1:18" ht="12.75">
      <c r="A15" s="1"/>
      <c r="B15" s="1" t="s">
        <v>31</v>
      </c>
      <c r="C15" s="1">
        <f t="shared" si="5"/>
        <v>48</v>
      </c>
      <c r="D15" s="1">
        <v>8</v>
      </c>
      <c r="E15" s="1">
        <v>23</v>
      </c>
      <c r="F15" s="1">
        <v>-15.2</v>
      </c>
      <c r="G15" s="1">
        <f t="shared" si="1"/>
        <v>-38.2</v>
      </c>
      <c r="H15" s="1">
        <f t="shared" si="0"/>
        <v>-48</v>
      </c>
      <c r="I15" s="1">
        <f t="shared" si="4"/>
        <v>2.1854999999999998</v>
      </c>
      <c r="J15" s="16">
        <f t="shared" si="6"/>
        <v>4.107142857142857</v>
      </c>
      <c r="K15">
        <f t="shared" si="2"/>
        <v>-17.3855</v>
      </c>
      <c r="P15" s="1" t="s">
        <v>26</v>
      </c>
      <c r="Q15" s="1">
        <f>ATAN(Q14)*180/PI()</f>
        <v>0</v>
      </c>
      <c r="R15" s="1">
        <f>ATAN(R14)*180/PI()</f>
        <v>0</v>
      </c>
    </row>
    <row r="16" spans="1:11" ht="12.75">
      <c r="A16" s="1"/>
      <c r="B16" s="1" t="s">
        <v>32</v>
      </c>
      <c r="C16" s="1">
        <f t="shared" si="5"/>
        <v>56</v>
      </c>
      <c r="D16" s="1">
        <v>8</v>
      </c>
      <c r="E16" s="1">
        <v>22</v>
      </c>
      <c r="F16" s="1">
        <v>-16</v>
      </c>
      <c r="G16" s="1">
        <f t="shared" si="1"/>
        <v>-38</v>
      </c>
      <c r="H16" s="1">
        <f t="shared" si="0"/>
        <v>-56</v>
      </c>
      <c r="I16" s="1">
        <f t="shared" si="4"/>
        <v>2.0174999999999996</v>
      </c>
      <c r="J16" s="17">
        <f t="shared" si="6"/>
        <v>3.9285714285714284</v>
      </c>
      <c r="K16">
        <f t="shared" si="2"/>
        <v>-18.0175</v>
      </c>
    </row>
    <row r="17" spans="1:18" ht="12.75">
      <c r="A17" s="1"/>
      <c r="B17" s="1" t="s">
        <v>33</v>
      </c>
      <c r="C17" s="1">
        <f t="shared" si="5"/>
        <v>61</v>
      </c>
      <c r="D17" s="1">
        <v>5</v>
      </c>
      <c r="E17" s="1">
        <v>20.5</v>
      </c>
      <c r="F17" s="1">
        <v>-17.2</v>
      </c>
      <c r="G17" s="1">
        <f>F17-E17</f>
        <v>-37.7</v>
      </c>
      <c r="H17" s="1">
        <f t="shared" si="0"/>
        <v>-61</v>
      </c>
      <c r="I17" s="1">
        <f t="shared" si="4"/>
        <v>1.8344999999999996</v>
      </c>
      <c r="J17" s="7">
        <f t="shared" si="6"/>
        <v>3.6607142857142856</v>
      </c>
      <c r="K17">
        <f t="shared" si="2"/>
        <v>-19.034499999999998</v>
      </c>
      <c r="N17" t="s">
        <v>30</v>
      </c>
      <c r="P17" s="3" t="s">
        <v>16</v>
      </c>
      <c r="Q17" s="4" t="s">
        <v>15</v>
      </c>
      <c r="R17" s="5" t="s">
        <v>17</v>
      </c>
    </row>
    <row r="18" spans="1:18" ht="12.75">
      <c r="A18" s="1"/>
      <c r="B18" s="1" t="s">
        <v>34</v>
      </c>
      <c r="C18" s="1">
        <f>C17+D18</f>
        <v>65</v>
      </c>
      <c r="D18" s="1">
        <v>4</v>
      </c>
      <c r="E18" s="1">
        <v>18</v>
      </c>
      <c r="F18" s="1">
        <v>-19.1</v>
      </c>
      <c r="G18" s="1">
        <f>F18-E18</f>
        <v>-37.1</v>
      </c>
      <c r="H18" s="1">
        <f>-C18</f>
        <v>-65</v>
      </c>
      <c r="I18" s="1">
        <f t="shared" si="4"/>
        <v>1.6394999999999995</v>
      </c>
      <c r="J18" s="1"/>
      <c r="K18">
        <f t="shared" si="2"/>
        <v>-20.7395</v>
      </c>
      <c r="P18" s="6">
        <f>H7</f>
        <v>0</v>
      </c>
      <c r="Q18" s="8">
        <f>Q12</f>
        <v>-21</v>
      </c>
      <c r="R18" s="8">
        <f>R12</f>
        <v>-31</v>
      </c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P19" s="9">
        <f>H18</f>
        <v>-65</v>
      </c>
      <c r="Q19" s="8">
        <f>Q13</f>
        <v>-21</v>
      </c>
      <c r="R19" s="8">
        <f>R13</f>
        <v>-31</v>
      </c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22" ht="12.75">
      <c r="A21" s="1"/>
      <c r="B21" s="1"/>
      <c r="C21" s="1"/>
      <c r="D21" s="1"/>
      <c r="E21" s="1"/>
      <c r="F21" s="1"/>
      <c r="G21" s="1"/>
      <c r="H21" s="1"/>
      <c r="I21" s="1"/>
      <c r="J21" s="1"/>
      <c r="Q21" s="3" t="s">
        <v>0</v>
      </c>
      <c r="R21" s="4" t="s">
        <v>23</v>
      </c>
      <c r="S21" s="4" t="s">
        <v>24</v>
      </c>
      <c r="T21" s="12" t="s">
        <v>1</v>
      </c>
      <c r="U21" s="13" t="s">
        <v>27</v>
      </c>
      <c r="V21" s="12" t="s">
        <v>28</v>
      </c>
    </row>
    <row r="22" spans="1:22" ht="12.75">
      <c r="A22" s="1"/>
      <c r="B22" s="1"/>
      <c r="C22" s="1"/>
      <c r="D22" s="1"/>
      <c r="E22" s="1"/>
      <c r="F22" s="1"/>
      <c r="G22" s="1"/>
      <c r="H22" s="1"/>
      <c r="I22" s="1"/>
      <c r="J22" s="1"/>
      <c r="Q22" s="6">
        <f>C8</f>
        <v>0</v>
      </c>
      <c r="R22" s="7">
        <f>Q12</f>
        <v>-21</v>
      </c>
      <c r="S22" s="7">
        <f>R12</f>
        <v>-31</v>
      </c>
      <c r="T22" s="8">
        <f>F8</f>
        <v>0</v>
      </c>
      <c r="U22" s="6">
        <f>R22-T22</f>
        <v>-21</v>
      </c>
      <c r="V22" s="8">
        <f>S22-T22</f>
        <v>-31</v>
      </c>
    </row>
    <row r="23" spans="1:22" ht="12.75">
      <c r="A23" s="1"/>
      <c r="B23" s="1"/>
      <c r="C23" s="1"/>
      <c r="D23" s="1"/>
      <c r="E23" s="1"/>
      <c r="F23" s="1"/>
      <c r="G23" s="1"/>
      <c r="H23" s="1"/>
      <c r="I23" s="1"/>
      <c r="J23" s="1"/>
      <c r="Q23" s="6">
        <f aca="true" t="shared" si="7" ref="Q23:Q32">C9</f>
        <v>3.5</v>
      </c>
      <c r="R23" s="7">
        <f>R$22+Q$14*Q23</f>
        <v>-21</v>
      </c>
      <c r="S23" s="7">
        <f>S$22+R$14*Q23</f>
        <v>-31</v>
      </c>
      <c r="T23" s="8">
        <f aca="true" t="shared" si="8" ref="T23:T32">F9</f>
        <v>-1.2</v>
      </c>
      <c r="U23" s="6">
        <f>R23-T23</f>
        <v>-19.8</v>
      </c>
      <c r="V23" s="8">
        <f aca="true" t="shared" si="9" ref="V23:V32">S23-T23</f>
        <v>-29.8</v>
      </c>
    </row>
    <row r="24" spans="1:22" ht="12.75">
      <c r="A24" s="1"/>
      <c r="B24" s="1"/>
      <c r="C24" s="1"/>
      <c r="D24" s="1"/>
      <c r="E24" s="1"/>
      <c r="F24" s="1"/>
      <c r="G24" s="1"/>
      <c r="H24" s="1"/>
      <c r="I24" s="1"/>
      <c r="J24" s="1"/>
      <c r="Q24" s="6">
        <f t="shared" si="7"/>
        <v>8</v>
      </c>
      <c r="R24" s="7">
        <f aca="true" t="shared" si="10" ref="R24:R32">R$22+Q$14*Q24</f>
        <v>-21</v>
      </c>
      <c r="S24" s="7">
        <f aca="true" t="shared" si="11" ref="S24:S32">S$22+R$14*Q24</f>
        <v>-31</v>
      </c>
      <c r="T24" s="8">
        <f t="shared" si="8"/>
        <v>-6.5</v>
      </c>
      <c r="U24" s="6">
        <f aca="true" t="shared" si="12" ref="U24:U32">R24-T24</f>
        <v>-14.5</v>
      </c>
      <c r="V24" s="8">
        <f t="shared" si="9"/>
        <v>-24.5</v>
      </c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Q25" s="6">
        <f t="shared" si="7"/>
        <v>16</v>
      </c>
      <c r="R25" s="7">
        <f t="shared" si="10"/>
        <v>-21</v>
      </c>
      <c r="S25" s="7">
        <f t="shared" si="11"/>
        <v>-31</v>
      </c>
      <c r="T25" s="8">
        <f t="shared" si="8"/>
        <v>-11</v>
      </c>
      <c r="U25" s="6">
        <f>R25-T25</f>
        <v>-10</v>
      </c>
      <c r="V25" s="8">
        <f t="shared" si="9"/>
        <v>-20</v>
      </c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Q26" s="6">
        <f t="shared" si="7"/>
        <v>24</v>
      </c>
      <c r="R26" s="7">
        <f t="shared" si="10"/>
        <v>-21</v>
      </c>
      <c r="S26" s="7">
        <f t="shared" si="11"/>
        <v>-31</v>
      </c>
      <c r="T26" s="8">
        <f t="shared" si="8"/>
        <v>-12.8</v>
      </c>
      <c r="U26" s="6">
        <f t="shared" si="12"/>
        <v>-8.2</v>
      </c>
      <c r="V26" s="8">
        <f t="shared" si="9"/>
        <v>-18.2</v>
      </c>
    </row>
    <row r="27" spans="1:22" ht="12.75">
      <c r="A27" s="1"/>
      <c r="B27" s="1"/>
      <c r="C27" s="1"/>
      <c r="D27" s="1"/>
      <c r="E27" s="1"/>
      <c r="F27" s="1"/>
      <c r="G27" s="1"/>
      <c r="H27" s="1"/>
      <c r="I27" s="1"/>
      <c r="J27" s="1"/>
      <c r="Q27" s="6">
        <f t="shared" si="7"/>
        <v>32</v>
      </c>
      <c r="R27" s="7">
        <f t="shared" si="10"/>
        <v>-21</v>
      </c>
      <c r="S27" s="7">
        <f t="shared" si="11"/>
        <v>-31</v>
      </c>
      <c r="T27" s="8">
        <f t="shared" si="8"/>
        <v>-13.6</v>
      </c>
      <c r="U27" s="6">
        <f t="shared" si="12"/>
        <v>-7.4</v>
      </c>
      <c r="V27" s="8">
        <f t="shared" si="9"/>
        <v>-17.4</v>
      </c>
    </row>
    <row r="28" spans="1:22" ht="12.75">
      <c r="A28" s="1"/>
      <c r="B28" s="1"/>
      <c r="C28" s="1"/>
      <c r="D28" s="1"/>
      <c r="E28" s="1"/>
      <c r="F28" s="1"/>
      <c r="G28" s="1"/>
      <c r="H28" s="1"/>
      <c r="I28" s="1"/>
      <c r="J28" s="1"/>
      <c r="Q28" s="6">
        <f t="shared" si="7"/>
        <v>40</v>
      </c>
      <c r="R28" s="7">
        <f t="shared" si="10"/>
        <v>-21</v>
      </c>
      <c r="S28" s="7">
        <f t="shared" si="11"/>
        <v>-31</v>
      </c>
      <c r="T28" s="8">
        <f t="shared" si="8"/>
        <v>-14.4</v>
      </c>
      <c r="U28" s="6">
        <f t="shared" si="12"/>
        <v>-6.6</v>
      </c>
      <c r="V28" s="8">
        <f t="shared" si="9"/>
        <v>-16.6</v>
      </c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Q29" s="6">
        <f t="shared" si="7"/>
        <v>48</v>
      </c>
      <c r="R29" s="7">
        <f t="shared" si="10"/>
        <v>-21</v>
      </c>
      <c r="S29" s="7">
        <f t="shared" si="11"/>
        <v>-31</v>
      </c>
      <c r="T29" s="8">
        <f t="shared" si="8"/>
        <v>-15.2</v>
      </c>
      <c r="U29" s="6">
        <f t="shared" si="12"/>
        <v>-5.800000000000001</v>
      </c>
      <c r="V29" s="8">
        <f t="shared" si="9"/>
        <v>-15.8</v>
      </c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Q30" s="6">
        <f t="shared" si="7"/>
        <v>56</v>
      </c>
      <c r="R30" s="7">
        <f t="shared" si="10"/>
        <v>-21</v>
      </c>
      <c r="S30" s="7">
        <f t="shared" si="11"/>
        <v>-31</v>
      </c>
      <c r="T30" s="8">
        <f t="shared" si="8"/>
        <v>-16</v>
      </c>
      <c r="U30" s="6">
        <f t="shared" si="12"/>
        <v>-5</v>
      </c>
      <c r="V30" s="8">
        <f t="shared" si="9"/>
        <v>-15</v>
      </c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Q31" s="6">
        <f t="shared" si="7"/>
        <v>61</v>
      </c>
      <c r="R31" s="7">
        <f t="shared" si="10"/>
        <v>-21</v>
      </c>
      <c r="S31" s="7">
        <f t="shared" si="11"/>
        <v>-31</v>
      </c>
      <c r="T31" s="8">
        <f t="shared" si="8"/>
        <v>-17.2</v>
      </c>
      <c r="U31" s="6">
        <f t="shared" si="12"/>
        <v>-3.8000000000000007</v>
      </c>
      <c r="V31" s="8">
        <f t="shared" si="9"/>
        <v>-13.8</v>
      </c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Q32" s="6">
        <f t="shared" si="7"/>
        <v>65</v>
      </c>
      <c r="R32" s="7">
        <f t="shared" si="10"/>
        <v>-21</v>
      </c>
      <c r="S32" s="7">
        <f t="shared" si="11"/>
        <v>-31</v>
      </c>
      <c r="T32" s="8">
        <f t="shared" si="8"/>
        <v>-19.1</v>
      </c>
      <c r="U32" s="6">
        <f t="shared" si="12"/>
        <v>-1.8999999999999986</v>
      </c>
      <c r="V32" s="8">
        <f t="shared" si="9"/>
        <v>-11.899999999999999</v>
      </c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Q33" s="6"/>
      <c r="R33" s="10"/>
      <c r="S33" s="10"/>
      <c r="T33" s="11"/>
      <c r="U33" s="9"/>
      <c r="V33" s="1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10"/>
  <sheetViews>
    <sheetView workbookViewId="0" topLeftCell="D1">
      <selection activeCell="E67" sqref="E67"/>
    </sheetView>
  </sheetViews>
  <sheetFormatPr defaultColWidth="9.140625" defaultRowHeight="12.75"/>
  <sheetData>
    <row r="1" ht="12.75">
      <c r="A1" t="s">
        <v>11</v>
      </c>
    </row>
    <row r="3" spans="9:36" ht="12.75">
      <c r="I3" t="s">
        <v>18</v>
      </c>
      <c r="L3" t="s">
        <v>19</v>
      </c>
      <c r="O3" t="s">
        <v>20</v>
      </c>
      <c r="R3" t="s">
        <v>21</v>
      </c>
      <c r="U3" t="s">
        <v>22</v>
      </c>
      <c r="X3" t="s">
        <v>29</v>
      </c>
      <c r="AA3" t="s">
        <v>31</v>
      </c>
      <c r="AD3" t="s">
        <v>32</v>
      </c>
      <c r="AG3" t="s">
        <v>33</v>
      </c>
      <c r="AJ3" t="s">
        <v>34</v>
      </c>
    </row>
    <row r="4" spans="9:37" ht="12.75">
      <c r="I4" t="s">
        <v>12</v>
      </c>
      <c r="J4">
        <f>Wing_Layout!E9</f>
        <v>42.5</v>
      </c>
      <c r="L4" t="s">
        <v>12</v>
      </c>
      <c r="M4">
        <f>Wing_Layout!E10</f>
        <v>34</v>
      </c>
      <c r="O4" t="s">
        <v>12</v>
      </c>
      <c r="P4">
        <f>Wing_Layout!E11</f>
        <v>28</v>
      </c>
      <c r="R4" t="s">
        <v>12</v>
      </c>
      <c r="S4">
        <f>Wing_Layout!E12</f>
        <v>26</v>
      </c>
      <c r="U4" t="s">
        <v>12</v>
      </c>
      <c r="V4">
        <f>Wing_Layout!$E13</f>
        <v>25</v>
      </c>
      <c r="X4" t="s">
        <v>12</v>
      </c>
      <c r="Y4">
        <f>Wing_Layout!$E14</f>
        <v>24</v>
      </c>
      <c r="AA4" t="s">
        <v>12</v>
      </c>
      <c r="AB4">
        <f>Wing_Layout!$E15</f>
        <v>23</v>
      </c>
      <c r="AD4" t="s">
        <v>12</v>
      </c>
      <c r="AE4">
        <f>Wing_Layout!$E16</f>
        <v>22</v>
      </c>
      <c r="AG4" t="s">
        <v>12</v>
      </c>
      <c r="AH4">
        <f>Wing_Layout!$E17</f>
        <v>20.5</v>
      </c>
      <c r="AJ4" t="s">
        <v>12</v>
      </c>
      <c r="AK4">
        <f>Wing_Layout!$E18</f>
        <v>18</v>
      </c>
    </row>
    <row r="5" spans="1:37" ht="12.75">
      <c r="A5">
        <v>1</v>
      </c>
      <c r="B5">
        <v>0.00251</v>
      </c>
      <c r="I5" t="s">
        <v>13</v>
      </c>
      <c r="J5">
        <v>1.2</v>
      </c>
      <c r="L5" t="s">
        <v>13</v>
      </c>
      <c r="M5">
        <v>1.1</v>
      </c>
      <c r="O5" t="s">
        <v>13</v>
      </c>
      <c r="P5">
        <v>1.05</v>
      </c>
      <c r="R5" t="s">
        <v>13</v>
      </c>
      <c r="S5">
        <v>1</v>
      </c>
      <c r="U5" t="s">
        <v>13</v>
      </c>
      <c r="V5">
        <v>1</v>
      </c>
      <c r="X5" t="s">
        <v>13</v>
      </c>
      <c r="Y5">
        <v>1</v>
      </c>
      <c r="AA5" t="s">
        <v>13</v>
      </c>
      <c r="AB5">
        <v>1</v>
      </c>
      <c r="AD5" t="s">
        <v>13</v>
      </c>
      <c r="AE5">
        <v>1</v>
      </c>
      <c r="AG5" t="s">
        <v>13</v>
      </c>
      <c r="AH5">
        <v>1</v>
      </c>
      <c r="AJ5" t="s">
        <v>13</v>
      </c>
      <c r="AK5">
        <v>1</v>
      </c>
    </row>
    <row r="6" spans="1:37" ht="12.75">
      <c r="A6">
        <v>0.93883</v>
      </c>
      <c r="B6">
        <v>0.00129</v>
      </c>
      <c r="I6" t="s">
        <v>14</v>
      </c>
      <c r="J6">
        <v>-15</v>
      </c>
      <c r="L6" t="s">
        <v>14</v>
      </c>
      <c r="M6">
        <v>-12</v>
      </c>
      <c r="O6" t="s">
        <v>14</v>
      </c>
      <c r="P6">
        <v>-9</v>
      </c>
      <c r="R6" t="s">
        <v>14</v>
      </c>
      <c r="S6">
        <v>-6</v>
      </c>
      <c r="U6" t="s">
        <v>14</v>
      </c>
      <c r="V6">
        <v>-3</v>
      </c>
      <c r="X6" t="s">
        <v>14</v>
      </c>
      <c r="Y6">
        <v>0</v>
      </c>
      <c r="AA6" t="s">
        <v>14</v>
      </c>
      <c r="AB6">
        <v>3</v>
      </c>
      <c r="AD6" t="s">
        <v>14</v>
      </c>
      <c r="AE6">
        <v>6</v>
      </c>
      <c r="AG6" t="s">
        <v>14</v>
      </c>
      <c r="AH6">
        <v>9</v>
      </c>
      <c r="AJ6" t="s">
        <v>14</v>
      </c>
      <c r="AK6">
        <v>12</v>
      </c>
    </row>
    <row r="7" spans="1:37" ht="12.75">
      <c r="A7">
        <v>0.88908</v>
      </c>
      <c r="B7">
        <v>0.00134</v>
      </c>
      <c r="I7">
        <f>$A5*J$4-Wing_Layout!$F$9</f>
        <v>43.7</v>
      </c>
      <c r="J7">
        <f>$B5*J$5*J$4+J$6</f>
        <v>-14.87199</v>
      </c>
      <c r="L7">
        <f>$A5*M$4-Wing_Layout!$F$10</f>
        <v>40.5</v>
      </c>
      <c r="M7">
        <f aca="true" t="shared" si="0" ref="M7:M38">$B5*M$5*M$4+M$6</f>
        <v>-11.906126</v>
      </c>
      <c r="O7">
        <f>$A5*P$4-Wing_Layout!$F$11</f>
        <v>39</v>
      </c>
      <c r="P7">
        <f aca="true" t="shared" si="1" ref="P7:P38">$B5*P$5*P$4+P$6</f>
        <v>-8.926206</v>
      </c>
      <c r="R7">
        <f>$A5*S$4-Wing_Layout!$F$12</f>
        <v>38.8</v>
      </c>
      <c r="S7">
        <f aca="true" t="shared" si="2" ref="S7:S38">$B5*S$5*S$4+S$6</f>
        <v>-5.93474</v>
      </c>
      <c r="U7">
        <f>$A5*V$4-Wing_Layout!$F$13</f>
        <v>38.6</v>
      </c>
      <c r="V7">
        <f aca="true" t="shared" si="3" ref="V7:V38">$B5*V$5*V$4+V$6</f>
        <v>-2.93725</v>
      </c>
      <c r="X7">
        <f>$A5*Y$4-Wing_Layout!$F$14</f>
        <v>38.4</v>
      </c>
      <c r="Y7">
        <f aca="true" t="shared" si="4" ref="Y7:Y38">$B5*Y$5*Y$4+Y$6</f>
        <v>0.06024</v>
      </c>
      <c r="AA7">
        <f>$A5*AB$4-Wing_Layout!$F$15</f>
        <v>38.2</v>
      </c>
      <c r="AB7">
        <f aca="true" t="shared" si="5" ref="AB7:AB38">$B5*AB$5*AB$4+AB$6</f>
        <v>3.05773</v>
      </c>
      <c r="AD7">
        <f>$A5*AE$4-Wing_Layout!$F$16</f>
        <v>38</v>
      </c>
      <c r="AE7">
        <f aca="true" t="shared" si="6" ref="AE7:AE38">$B5*AE$5*AE$4+AE$6</f>
        <v>6.05522</v>
      </c>
      <c r="AG7">
        <f>$A5*AH$4-Wing_Layout!$F$17</f>
        <v>37.7</v>
      </c>
      <c r="AH7">
        <f aca="true" t="shared" si="7" ref="AH7:AH38">$B5*AH$5*AH$4+AH$6</f>
        <v>9.051455</v>
      </c>
      <c r="AJ7">
        <f>$A5*AK$4-Wing_Layout!$F$18</f>
        <v>37.1</v>
      </c>
      <c r="AK7">
        <f aca="true" t="shared" si="8" ref="AK7:AK38">$B5*AK$5*AK$4+AK$6</f>
        <v>12.04518</v>
      </c>
    </row>
    <row r="8" spans="1:37" ht="12.75">
      <c r="A8">
        <v>0.84892</v>
      </c>
      <c r="B8">
        <v>0.00255</v>
      </c>
      <c r="I8">
        <f>$A6*J$4-Wing_Layout!$F$9</f>
        <v>41.100275</v>
      </c>
      <c r="J8">
        <f aca="true" t="shared" si="9" ref="J8:J38">$B6*J$5*J$4+J$6</f>
        <v>-14.93421</v>
      </c>
      <c r="L8">
        <f>$A6*M$4-Wing_Layout!$F$10</f>
        <v>38.42022</v>
      </c>
      <c r="M8">
        <f t="shared" si="0"/>
        <v>-11.951754</v>
      </c>
      <c r="O8">
        <f>$A6*P$4-Wing_Layout!$F$11</f>
        <v>37.28724</v>
      </c>
      <c r="P8">
        <f t="shared" si="1"/>
        <v>-8.962074</v>
      </c>
      <c r="R8">
        <f>$A6*S$4-Wing_Layout!$F$12</f>
        <v>37.20958</v>
      </c>
      <c r="S8">
        <f t="shared" si="2"/>
        <v>-5.96646</v>
      </c>
      <c r="U8">
        <f>$A6*V$4-Wing_Layout!$F$13</f>
        <v>37.070750000000004</v>
      </c>
      <c r="V8">
        <f t="shared" si="3"/>
        <v>-2.96775</v>
      </c>
      <c r="X8">
        <f>$A6*Y$4-Wing_Layout!$F$14</f>
        <v>36.93192</v>
      </c>
      <c r="Y8">
        <f t="shared" si="4"/>
        <v>0.030959999999999998</v>
      </c>
      <c r="AA8">
        <f>$A6*AB$4-Wing_Layout!$F$15</f>
        <v>36.79309</v>
      </c>
      <c r="AB8">
        <f t="shared" si="5"/>
        <v>3.02967</v>
      </c>
      <c r="AD8">
        <f>$A6*AE$4-Wing_Layout!$F$16</f>
        <v>36.65426</v>
      </c>
      <c r="AE8">
        <f t="shared" si="6"/>
        <v>6.02838</v>
      </c>
      <c r="AG8">
        <f>$A6*AH$4-Wing_Layout!$F$17</f>
        <v>36.446015</v>
      </c>
      <c r="AH8">
        <f t="shared" si="7"/>
        <v>9.026445</v>
      </c>
      <c r="AJ8">
        <f>$A6*AK$4-Wing_Layout!$F$18</f>
        <v>35.998940000000005</v>
      </c>
      <c r="AK8">
        <f t="shared" si="8"/>
        <v>12.02322</v>
      </c>
    </row>
    <row r="9" spans="1:37" ht="12.75">
      <c r="A9">
        <v>0.81652</v>
      </c>
      <c r="B9">
        <v>0.00479</v>
      </c>
      <c r="I9">
        <f>$A7*J$4-Wing_Layout!$F$9</f>
        <v>38.9859</v>
      </c>
      <c r="J9">
        <f t="shared" si="9"/>
        <v>-14.93166</v>
      </c>
      <c r="L9">
        <f>$A7*M$4-Wing_Layout!$F$10</f>
        <v>36.728719999999996</v>
      </c>
      <c r="M9">
        <f t="shared" si="0"/>
        <v>-11.949884</v>
      </c>
      <c r="O9">
        <f>$A7*P$4-Wing_Layout!$F$11</f>
        <v>35.894239999999996</v>
      </c>
      <c r="P9">
        <f t="shared" si="1"/>
        <v>-8.960604</v>
      </c>
      <c r="R9">
        <f>$A7*S$4-Wing_Layout!$F$12</f>
        <v>35.91608</v>
      </c>
      <c r="S9">
        <f t="shared" si="2"/>
        <v>-5.96516</v>
      </c>
      <c r="U9">
        <f>$A7*V$4-Wing_Layout!$F$13</f>
        <v>35.827</v>
      </c>
      <c r="V9">
        <f t="shared" si="3"/>
        <v>-2.9665</v>
      </c>
      <c r="X9">
        <f>$A7*Y$4-Wing_Layout!$F$14</f>
        <v>35.73792</v>
      </c>
      <c r="Y9">
        <f t="shared" si="4"/>
        <v>0.03216</v>
      </c>
      <c r="AA9">
        <f>$A7*AB$4-Wing_Layout!$F$15</f>
        <v>35.64884</v>
      </c>
      <c r="AB9">
        <f t="shared" si="5"/>
        <v>3.03082</v>
      </c>
      <c r="AD9">
        <f>$A7*AE$4-Wing_Layout!$F$16</f>
        <v>35.55976</v>
      </c>
      <c r="AE9">
        <f t="shared" si="6"/>
        <v>6.02948</v>
      </c>
      <c r="AG9">
        <f>$A7*AH$4-Wing_Layout!$F$17</f>
        <v>35.426140000000004</v>
      </c>
      <c r="AH9">
        <f t="shared" si="7"/>
        <v>9.02747</v>
      </c>
      <c r="AJ9">
        <f>$A7*AK$4-Wing_Layout!$F$18</f>
        <v>35.103440000000006</v>
      </c>
      <c r="AK9">
        <f t="shared" si="8"/>
        <v>12.02412</v>
      </c>
    </row>
    <row r="10" spans="1:37" ht="12.75">
      <c r="A10">
        <v>0.79006</v>
      </c>
      <c r="B10">
        <v>0.00797</v>
      </c>
      <c r="I10">
        <f>$A8*J$4-Wing_Layout!$F$9</f>
        <v>37.2791</v>
      </c>
      <c r="J10">
        <f t="shared" si="9"/>
        <v>-14.86995</v>
      </c>
      <c r="L10">
        <f>$A8*M$4-Wing_Layout!$F$10</f>
        <v>35.36328</v>
      </c>
      <c r="M10">
        <f t="shared" si="0"/>
        <v>-11.90463</v>
      </c>
      <c r="O10">
        <f>$A8*P$4-Wing_Layout!$F$11</f>
        <v>34.769760000000005</v>
      </c>
      <c r="P10">
        <f t="shared" si="1"/>
        <v>-8.92503</v>
      </c>
      <c r="R10">
        <f>$A8*S$4-Wing_Layout!$F$12</f>
        <v>34.87192</v>
      </c>
      <c r="S10">
        <f t="shared" si="2"/>
        <v>-5.9337</v>
      </c>
      <c r="U10">
        <f>$A8*V$4-Wing_Layout!$F$13</f>
        <v>34.823</v>
      </c>
      <c r="V10">
        <f t="shared" si="3"/>
        <v>-2.93625</v>
      </c>
      <c r="X10">
        <f>$A8*Y$4-Wing_Layout!$F$14</f>
        <v>34.77408</v>
      </c>
      <c r="Y10">
        <f t="shared" si="4"/>
        <v>0.061200000000000004</v>
      </c>
      <c r="AA10">
        <f>$A8*AB$4-Wing_Layout!$F$15</f>
        <v>34.72516</v>
      </c>
      <c r="AB10">
        <f t="shared" si="5"/>
        <v>3.05865</v>
      </c>
      <c r="AD10">
        <f>$A8*AE$4-Wing_Layout!$F$16</f>
        <v>34.67624</v>
      </c>
      <c r="AE10">
        <f t="shared" si="6"/>
        <v>6.0561</v>
      </c>
      <c r="AG10">
        <f>$A8*AH$4-Wing_Layout!$F$17</f>
        <v>34.60286</v>
      </c>
      <c r="AH10">
        <f t="shared" si="7"/>
        <v>9.052275</v>
      </c>
      <c r="AJ10">
        <f>$A8*AK$4-Wing_Layout!$F$18</f>
        <v>34.38056</v>
      </c>
      <c r="AK10">
        <f t="shared" si="8"/>
        <v>12.0459</v>
      </c>
    </row>
    <row r="11" spans="1:37" ht="12.75">
      <c r="A11">
        <v>0.76771</v>
      </c>
      <c r="B11">
        <v>0.01194</v>
      </c>
      <c r="I11">
        <f>$A9*J$4-Wing_Layout!$F$9</f>
        <v>35.902100000000004</v>
      </c>
      <c r="J11">
        <f t="shared" si="9"/>
        <v>-14.75571</v>
      </c>
      <c r="L11">
        <f>$A9*M$4-Wing_Layout!$F$10</f>
        <v>34.26168</v>
      </c>
      <c r="M11">
        <f t="shared" si="0"/>
        <v>-11.820854</v>
      </c>
      <c r="O11">
        <f>$A9*P$4-Wing_Layout!$F$11</f>
        <v>33.86256</v>
      </c>
      <c r="P11">
        <f t="shared" si="1"/>
        <v>-8.859174</v>
      </c>
      <c r="R11">
        <f>$A9*S$4-Wing_Layout!$F$12</f>
        <v>34.029520000000005</v>
      </c>
      <c r="S11">
        <f t="shared" si="2"/>
        <v>-5.87546</v>
      </c>
      <c r="U11">
        <f>$A9*V$4-Wing_Layout!$F$13</f>
        <v>34.013</v>
      </c>
      <c r="V11">
        <f t="shared" si="3"/>
        <v>-2.88025</v>
      </c>
      <c r="X11">
        <f>$A9*Y$4-Wing_Layout!$F$14</f>
        <v>33.99648</v>
      </c>
      <c r="Y11">
        <f t="shared" si="4"/>
        <v>0.11496</v>
      </c>
      <c r="AA11">
        <f>$A9*AB$4-Wing_Layout!$F$15</f>
        <v>33.97996</v>
      </c>
      <c r="AB11">
        <f t="shared" si="5"/>
        <v>3.11017</v>
      </c>
      <c r="AD11">
        <f>$A9*AE$4-Wing_Layout!$F$16</f>
        <v>33.963440000000006</v>
      </c>
      <c r="AE11">
        <f t="shared" si="6"/>
        <v>6.10538</v>
      </c>
      <c r="AG11">
        <f>$A9*AH$4-Wing_Layout!$F$17</f>
        <v>33.93866</v>
      </c>
      <c r="AH11">
        <f t="shared" si="7"/>
        <v>9.098195</v>
      </c>
      <c r="AJ11">
        <f>$A9*AK$4-Wing_Layout!$F$18</f>
        <v>33.79736</v>
      </c>
      <c r="AK11">
        <f t="shared" si="8"/>
        <v>12.08622</v>
      </c>
    </row>
    <row r="12" spans="1:37" ht="12.75">
      <c r="A12">
        <v>0.74765</v>
      </c>
      <c r="B12">
        <v>0.01659</v>
      </c>
      <c r="I12">
        <f>$A10*J$4-Wing_Layout!$F$9</f>
        <v>34.777550000000005</v>
      </c>
      <c r="J12">
        <f t="shared" si="9"/>
        <v>-14.59353</v>
      </c>
      <c r="L12">
        <f>$A10*M$4-Wing_Layout!$F$10</f>
        <v>33.36204</v>
      </c>
      <c r="M12">
        <f t="shared" si="0"/>
        <v>-11.701922</v>
      </c>
      <c r="O12">
        <f>$A10*P$4-Wing_Layout!$F$11</f>
        <v>33.12168</v>
      </c>
      <c r="P12">
        <f t="shared" si="1"/>
        <v>-8.765682</v>
      </c>
      <c r="R12">
        <f>$A10*S$4-Wing_Layout!$F$12</f>
        <v>33.34156</v>
      </c>
      <c r="S12">
        <f t="shared" si="2"/>
        <v>-5.79278</v>
      </c>
      <c r="U12">
        <f>$A10*V$4-Wing_Layout!$F$13</f>
        <v>33.3515</v>
      </c>
      <c r="V12">
        <f t="shared" si="3"/>
        <v>-2.80075</v>
      </c>
      <c r="X12">
        <f>$A10*Y$4-Wing_Layout!$F$14</f>
        <v>33.36144</v>
      </c>
      <c r="Y12">
        <f t="shared" si="4"/>
        <v>0.19128</v>
      </c>
      <c r="AA12">
        <f>$A10*AB$4-Wing_Layout!$F$15</f>
        <v>33.37138</v>
      </c>
      <c r="AB12">
        <f t="shared" si="5"/>
        <v>3.18331</v>
      </c>
      <c r="AD12">
        <f>$A10*AE$4-Wing_Layout!$F$16</f>
        <v>33.38132</v>
      </c>
      <c r="AE12">
        <f t="shared" si="6"/>
        <v>6.17534</v>
      </c>
      <c r="AG12">
        <f>$A10*AH$4-Wing_Layout!$F$17</f>
        <v>33.39623</v>
      </c>
      <c r="AH12">
        <f t="shared" si="7"/>
        <v>9.163385</v>
      </c>
      <c r="AJ12">
        <f>$A10*AK$4-Wing_Layout!$F$18</f>
        <v>33.32108</v>
      </c>
      <c r="AK12">
        <f t="shared" si="8"/>
        <v>12.14346</v>
      </c>
    </row>
    <row r="13" spans="1:37" ht="12.75">
      <c r="A13">
        <v>0.72805</v>
      </c>
      <c r="B13">
        <v>0.0218</v>
      </c>
      <c r="I13">
        <f>$A11*J$4-Wing_Layout!$F$9</f>
        <v>33.827675000000006</v>
      </c>
      <c r="J13">
        <f t="shared" si="9"/>
        <v>-14.39106</v>
      </c>
      <c r="L13">
        <f>$A11*M$4-Wing_Layout!$F$10</f>
        <v>32.60214</v>
      </c>
      <c r="M13">
        <f t="shared" si="0"/>
        <v>-11.553444</v>
      </c>
      <c r="O13">
        <f>$A11*P$4-Wing_Layout!$F$11</f>
        <v>32.49588</v>
      </c>
      <c r="P13">
        <f t="shared" si="1"/>
        <v>-8.648964</v>
      </c>
      <c r="R13">
        <f>$A11*S$4-Wing_Layout!$F$12</f>
        <v>32.76046</v>
      </c>
      <c r="S13">
        <f t="shared" si="2"/>
        <v>-5.68956</v>
      </c>
      <c r="U13">
        <f>$A11*V$4-Wing_Layout!$F$13</f>
        <v>32.79275</v>
      </c>
      <c r="V13">
        <f t="shared" si="3"/>
        <v>-2.7015000000000002</v>
      </c>
      <c r="X13">
        <f>$A11*Y$4-Wing_Layout!$F$14</f>
        <v>32.82504</v>
      </c>
      <c r="Y13">
        <f t="shared" si="4"/>
        <v>0.28656</v>
      </c>
      <c r="AA13">
        <f>$A11*AB$4-Wing_Layout!$F$15</f>
        <v>32.857330000000005</v>
      </c>
      <c r="AB13">
        <f t="shared" si="5"/>
        <v>3.27462</v>
      </c>
      <c r="AD13">
        <f>$A11*AE$4-Wing_Layout!$F$16</f>
        <v>32.88962</v>
      </c>
      <c r="AE13">
        <f t="shared" si="6"/>
        <v>6.26268</v>
      </c>
      <c r="AG13">
        <f>$A11*AH$4-Wing_Layout!$F$17</f>
        <v>32.938055</v>
      </c>
      <c r="AH13">
        <f t="shared" si="7"/>
        <v>9.24477</v>
      </c>
      <c r="AJ13">
        <f>$A11*AK$4-Wing_Layout!$F$18</f>
        <v>32.91878</v>
      </c>
      <c r="AK13">
        <f t="shared" si="8"/>
        <v>12.21492</v>
      </c>
    </row>
    <row r="14" spans="1:37" ht="12.75">
      <c r="A14">
        <v>0.7071</v>
      </c>
      <c r="B14">
        <v>0.02746</v>
      </c>
      <c r="I14">
        <f>$A12*J$4-Wing_Layout!$F$9</f>
        <v>32.975125000000006</v>
      </c>
      <c r="J14">
        <f t="shared" si="9"/>
        <v>-14.15391</v>
      </c>
      <c r="L14">
        <f>$A12*M$4-Wing_Layout!$F$10</f>
        <v>31.9201</v>
      </c>
      <c r="M14">
        <f t="shared" si="0"/>
        <v>-11.379534</v>
      </c>
      <c r="O14">
        <f>$A12*P$4-Wing_Layout!$F$11</f>
        <v>31.9342</v>
      </c>
      <c r="P14">
        <f t="shared" si="1"/>
        <v>-8.512254</v>
      </c>
      <c r="R14">
        <f>$A12*S$4-Wing_Layout!$F$12</f>
        <v>32.2389</v>
      </c>
      <c r="S14">
        <f t="shared" si="2"/>
        <v>-5.56866</v>
      </c>
      <c r="U14">
        <f>$A12*V$4-Wing_Layout!$F$13</f>
        <v>32.29125</v>
      </c>
      <c r="V14">
        <f t="shared" si="3"/>
        <v>-2.58525</v>
      </c>
      <c r="X14">
        <f>$A12*Y$4-Wing_Layout!$F$14</f>
        <v>32.3436</v>
      </c>
      <c r="Y14">
        <f t="shared" si="4"/>
        <v>0.39816</v>
      </c>
      <c r="AA14">
        <f>$A12*AB$4-Wing_Layout!$F$15</f>
        <v>32.39595</v>
      </c>
      <c r="AB14">
        <f t="shared" si="5"/>
        <v>3.38157</v>
      </c>
      <c r="AD14">
        <f>$A12*AE$4-Wing_Layout!$F$16</f>
        <v>32.4483</v>
      </c>
      <c r="AE14">
        <f t="shared" si="6"/>
        <v>6.36498</v>
      </c>
      <c r="AG14">
        <f>$A12*AH$4-Wing_Layout!$F$17</f>
        <v>32.526825</v>
      </c>
      <c r="AH14">
        <f t="shared" si="7"/>
        <v>9.340095</v>
      </c>
      <c r="AJ14">
        <f>$A12*AK$4-Wing_Layout!$F$18</f>
        <v>32.557700000000004</v>
      </c>
      <c r="AK14">
        <f t="shared" si="8"/>
        <v>12.29862</v>
      </c>
    </row>
    <row r="15" spans="1:37" ht="12.75">
      <c r="A15">
        <v>0.68296</v>
      </c>
      <c r="B15">
        <v>0.03345</v>
      </c>
      <c r="I15">
        <f>$A13*J$4-Wing_Layout!$F$9</f>
        <v>32.142125</v>
      </c>
      <c r="J15">
        <f t="shared" si="9"/>
        <v>-13.8882</v>
      </c>
      <c r="L15">
        <f>$A13*M$4-Wing_Layout!$F$10</f>
        <v>31.2537</v>
      </c>
      <c r="M15">
        <f t="shared" si="0"/>
        <v>-11.18468</v>
      </c>
      <c r="O15">
        <f>$A13*P$4-Wing_Layout!$F$11</f>
        <v>31.3854</v>
      </c>
      <c r="P15">
        <f t="shared" si="1"/>
        <v>-8.35908</v>
      </c>
      <c r="R15">
        <f>$A13*S$4-Wing_Layout!$F$12</f>
        <v>31.7293</v>
      </c>
      <c r="S15">
        <f t="shared" si="2"/>
        <v>-5.4332</v>
      </c>
      <c r="U15">
        <f>$A13*V$4-Wing_Layout!$F$13</f>
        <v>31.801249999999996</v>
      </c>
      <c r="V15">
        <f t="shared" si="3"/>
        <v>-2.455</v>
      </c>
      <c r="X15">
        <f>$A13*Y$4-Wing_Layout!$F$14</f>
        <v>31.873199999999997</v>
      </c>
      <c r="Y15">
        <f t="shared" si="4"/>
        <v>0.5232</v>
      </c>
      <c r="AA15">
        <f>$A13*AB$4-Wing_Layout!$F$15</f>
        <v>31.945149999999998</v>
      </c>
      <c r="AB15">
        <f t="shared" si="5"/>
        <v>3.5014</v>
      </c>
      <c r="AD15">
        <f>$A13*AE$4-Wing_Layout!$F$16</f>
        <v>32.0171</v>
      </c>
      <c r="AE15">
        <f t="shared" si="6"/>
        <v>6.4796</v>
      </c>
      <c r="AG15">
        <f>$A13*AH$4-Wing_Layout!$F$17</f>
        <v>32.125025</v>
      </c>
      <c r="AH15">
        <f t="shared" si="7"/>
        <v>9.4469</v>
      </c>
      <c r="AJ15">
        <f>$A13*AK$4-Wing_Layout!$F$18</f>
        <v>32.2049</v>
      </c>
      <c r="AK15">
        <f t="shared" si="8"/>
        <v>12.3924</v>
      </c>
    </row>
    <row r="16" spans="1:37" ht="12.75">
      <c r="A16">
        <v>0.65461</v>
      </c>
      <c r="B16">
        <v>0.03963</v>
      </c>
      <c r="I16">
        <f>$A14*J$4-Wing_Layout!$F$9</f>
        <v>31.251749999999998</v>
      </c>
      <c r="J16">
        <f t="shared" si="9"/>
        <v>-13.599540000000001</v>
      </c>
      <c r="L16">
        <f>$A14*M$4-Wing_Layout!$F$10</f>
        <v>30.5414</v>
      </c>
      <c r="M16">
        <f t="shared" si="0"/>
        <v>-10.972996</v>
      </c>
      <c r="O16">
        <f>$A14*P$4-Wing_Layout!$F$11</f>
        <v>30.7988</v>
      </c>
      <c r="P16">
        <f t="shared" si="1"/>
        <v>-8.192676</v>
      </c>
      <c r="R16">
        <f>$A14*S$4-Wing_Layout!$F$12</f>
        <v>31.1846</v>
      </c>
      <c r="S16">
        <f t="shared" si="2"/>
        <v>-5.28604</v>
      </c>
      <c r="U16">
        <f>$A14*V$4-Wing_Layout!$F$13</f>
        <v>31.277499999999996</v>
      </c>
      <c r="V16">
        <f t="shared" si="3"/>
        <v>-2.3135</v>
      </c>
      <c r="X16">
        <f>$A14*Y$4-Wing_Layout!$F$14</f>
        <v>31.370399999999997</v>
      </c>
      <c r="Y16">
        <f t="shared" si="4"/>
        <v>0.65904</v>
      </c>
      <c r="AA16">
        <f>$A14*AB$4-Wing_Layout!$F$15</f>
        <v>31.463299999999997</v>
      </c>
      <c r="AB16">
        <f t="shared" si="5"/>
        <v>3.63158</v>
      </c>
      <c r="AD16">
        <f>$A14*AE$4-Wing_Layout!$F$16</f>
        <v>31.556199999999997</v>
      </c>
      <c r="AE16">
        <f t="shared" si="6"/>
        <v>6.60412</v>
      </c>
      <c r="AG16">
        <f>$A14*AH$4-Wing_Layout!$F$17</f>
        <v>31.695549999999997</v>
      </c>
      <c r="AH16">
        <f t="shared" si="7"/>
        <v>9.56293</v>
      </c>
      <c r="AJ16">
        <f>$A14*AK$4-Wing_Layout!$F$18</f>
        <v>31.8278</v>
      </c>
      <c r="AK16">
        <f t="shared" si="8"/>
        <v>12.49428</v>
      </c>
    </row>
    <row r="17" spans="1:37" ht="12.75">
      <c r="A17">
        <v>0.62257</v>
      </c>
      <c r="B17">
        <v>0.04587</v>
      </c>
      <c r="I17">
        <f>$A15*J$4-Wing_Layout!$F$9</f>
        <v>30.2258</v>
      </c>
      <c r="J17">
        <f t="shared" si="9"/>
        <v>-13.29405</v>
      </c>
      <c r="L17">
        <f>$A15*M$4-Wing_Layout!$F$10</f>
        <v>29.72064</v>
      </c>
      <c r="M17">
        <f t="shared" si="0"/>
        <v>-10.74897</v>
      </c>
      <c r="O17">
        <f>$A15*P$4-Wing_Layout!$F$11</f>
        <v>30.122880000000002</v>
      </c>
      <c r="P17">
        <f t="shared" si="1"/>
        <v>-8.01657</v>
      </c>
      <c r="R17">
        <f>$A15*S$4-Wing_Layout!$F$12</f>
        <v>30.55696</v>
      </c>
      <c r="S17">
        <f t="shared" si="2"/>
        <v>-5.1303</v>
      </c>
      <c r="U17">
        <f>$A15*V$4-Wing_Layout!$F$13</f>
        <v>30.674</v>
      </c>
      <c r="V17">
        <f t="shared" si="3"/>
        <v>-2.16375</v>
      </c>
      <c r="X17">
        <f>$A15*Y$4-Wing_Layout!$F$14</f>
        <v>30.791040000000002</v>
      </c>
      <c r="Y17">
        <f t="shared" si="4"/>
        <v>0.8028</v>
      </c>
      <c r="AA17">
        <f>$A15*AB$4-Wing_Layout!$F$15</f>
        <v>30.908079999999998</v>
      </c>
      <c r="AB17">
        <f t="shared" si="5"/>
        <v>3.76935</v>
      </c>
      <c r="AD17">
        <f>$A15*AE$4-Wing_Layout!$F$16</f>
        <v>31.02512</v>
      </c>
      <c r="AE17">
        <f t="shared" si="6"/>
        <v>6.7359</v>
      </c>
      <c r="AG17">
        <f>$A15*AH$4-Wing_Layout!$F$17</f>
        <v>31.20068</v>
      </c>
      <c r="AH17">
        <f t="shared" si="7"/>
        <v>9.685725</v>
      </c>
      <c r="AJ17">
        <f>$A15*AK$4-Wing_Layout!$F$18</f>
        <v>31.39328</v>
      </c>
      <c r="AK17">
        <f t="shared" si="8"/>
        <v>12.6021</v>
      </c>
    </row>
    <row r="18" spans="1:37" ht="12.75">
      <c r="A18">
        <v>0.58752</v>
      </c>
      <c r="B18">
        <v>0.05204</v>
      </c>
      <c r="I18">
        <f>$A16*J$4-Wing_Layout!$F$9</f>
        <v>29.020925000000002</v>
      </c>
      <c r="J18">
        <f t="shared" si="9"/>
        <v>-12.97887</v>
      </c>
      <c r="L18">
        <f>$A16*M$4-Wing_Layout!$F$10</f>
        <v>28.75674</v>
      </c>
      <c r="M18">
        <f t="shared" si="0"/>
        <v>-10.517838</v>
      </c>
      <c r="O18">
        <f>$A16*P$4-Wing_Layout!$F$11</f>
        <v>29.32908</v>
      </c>
      <c r="P18">
        <f t="shared" si="1"/>
        <v>-7.834878</v>
      </c>
      <c r="R18">
        <f>$A16*S$4-Wing_Layout!$F$12</f>
        <v>29.819860000000002</v>
      </c>
      <c r="S18">
        <f t="shared" si="2"/>
        <v>-4.96962</v>
      </c>
      <c r="U18">
        <f>$A16*V$4-Wing_Layout!$F$13</f>
        <v>29.965249999999997</v>
      </c>
      <c r="V18">
        <f t="shared" si="3"/>
        <v>-2.0092499999999998</v>
      </c>
      <c r="X18">
        <f>$A16*Y$4-Wing_Layout!$F$14</f>
        <v>30.110640000000004</v>
      </c>
      <c r="Y18">
        <f t="shared" si="4"/>
        <v>0.95112</v>
      </c>
      <c r="AA18">
        <f>$A16*AB$4-Wing_Layout!$F$15</f>
        <v>30.25603</v>
      </c>
      <c r="AB18">
        <f t="shared" si="5"/>
        <v>3.9114899999999997</v>
      </c>
      <c r="AD18">
        <f>$A16*AE$4-Wing_Layout!$F$16</f>
        <v>30.40142</v>
      </c>
      <c r="AE18">
        <f t="shared" si="6"/>
        <v>6.87186</v>
      </c>
      <c r="AG18">
        <f>$A16*AH$4-Wing_Layout!$F$17</f>
        <v>30.619505</v>
      </c>
      <c r="AH18">
        <f t="shared" si="7"/>
        <v>9.812415</v>
      </c>
      <c r="AJ18">
        <f>$A16*AK$4-Wing_Layout!$F$18</f>
        <v>30.882980000000003</v>
      </c>
      <c r="AK18">
        <f t="shared" si="8"/>
        <v>12.71334</v>
      </c>
    </row>
    <row r="19" spans="1:37" ht="12.75">
      <c r="A19">
        <v>0.55015</v>
      </c>
      <c r="B19">
        <v>0.05798</v>
      </c>
      <c r="I19">
        <f>$A17*J$4-Wing_Layout!$F$9</f>
        <v>27.659224999999996</v>
      </c>
      <c r="J19">
        <f t="shared" si="9"/>
        <v>-12.66063</v>
      </c>
      <c r="L19">
        <f>$A17*M$4-Wing_Layout!$F$10</f>
        <v>27.667379999999998</v>
      </c>
      <c r="M19">
        <f t="shared" si="0"/>
        <v>-10.284462</v>
      </c>
      <c r="O19">
        <f>$A17*P$4-Wing_Layout!$F$11</f>
        <v>28.43196</v>
      </c>
      <c r="P19">
        <f t="shared" si="1"/>
        <v>-7.651422</v>
      </c>
      <c r="R19">
        <f>$A17*S$4-Wing_Layout!$F$12</f>
        <v>28.986819999999998</v>
      </c>
      <c r="S19">
        <f t="shared" si="2"/>
        <v>-4.80738</v>
      </c>
      <c r="U19">
        <f>$A17*V$4-Wing_Layout!$F$13</f>
        <v>29.16425</v>
      </c>
      <c r="V19">
        <f t="shared" si="3"/>
        <v>-1.85325</v>
      </c>
      <c r="X19">
        <f>$A17*Y$4-Wing_Layout!$F$14</f>
        <v>29.341679999999997</v>
      </c>
      <c r="Y19">
        <f t="shared" si="4"/>
        <v>1.10088</v>
      </c>
      <c r="AA19">
        <f>$A17*AB$4-Wing_Layout!$F$15</f>
        <v>29.519109999999998</v>
      </c>
      <c r="AB19">
        <f t="shared" si="5"/>
        <v>4.05501</v>
      </c>
      <c r="AD19">
        <f>$A17*AE$4-Wing_Layout!$F$16</f>
        <v>29.69654</v>
      </c>
      <c r="AE19">
        <f t="shared" si="6"/>
        <v>7.00914</v>
      </c>
      <c r="AG19">
        <f>$A17*AH$4-Wing_Layout!$F$17</f>
        <v>29.962685</v>
      </c>
      <c r="AH19">
        <f t="shared" si="7"/>
        <v>9.940335</v>
      </c>
      <c r="AJ19">
        <f>$A17*AK$4-Wing_Layout!$F$18</f>
        <v>30.30626</v>
      </c>
      <c r="AK19">
        <f t="shared" si="8"/>
        <v>12.82566</v>
      </c>
    </row>
    <row r="20" spans="1:37" ht="12.75">
      <c r="A20">
        <v>0.51114</v>
      </c>
      <c r="B20">
        <v>0.06357</v>
      </c>
      <c r="I20">
        <f>$A18*J$4-Wing_Layout!$F$9</f>
        <v>26.169600000000003</v>
      </c>
      <c r="J20">
        <f t="shared" si="9"/>
        <v>-12.34596</v>
      </c>
      <c r="L20">
        <f>$A18*M$4-Wing_Layout!$F$10</f>
        <v>26.47568</v>
      </c>
      <c r="M20">
        <f t="shared" si="0"/>
        <v>-10.053704</v>
      </c>
      <c r="O20">
        <f>$A18*P$4-Wing_Layout!$F$11</f>
        <v>27.450560000000003</v>
      </c>
      <c r="P20">
        <f t="shared" si="1"/>
        <v>-7.470024</v>
      </c>
      <c r="R20">
        <f>$A18*S$4-Wing_Layout!$F$12</f>
        <v>28.07552</v>
      </c>
      <c r="S20">
        <f t="shared" si="2"/>
        <v>-4.64696</v>
      </c>
      <c r="U20">
        <f>$A18*V$4-Wing_Layout!$F$13</f>
        <v>28.288</v>
      </c>
      <c r="V20">
        <f t="shared" si="3"/>
        <v>-1.6989999999999998</v>
      </c>
      <c r="X20">
        <f>$A18*Y$4-Wing_Layout!$F$14</f>
        <v>28.500480000000003</v>
      </c>
      <c r="Y20">
        <f t="shared" si="4"/>
        <v>1.24896</v>
      </c>
      <c r="AA20">
        <f>$A18*AB$4-Wing_Layout!$F$15</f>
        <v>28.712960000000002</v>
      </c>
      <c r="AB20">
        <f t="shared" si="5"/>
        <v>4.19692</v>
      </c>
      <c r="AD20">
        <f>$A18*AE$4-Wing_Layout!$F$16</f>
        <v>28.925440000000002</v>
      </c>
      <c r="AE20">
        <f t="shared" si="6"/>
        <v>7.144880000000001</v>
      </c>
      <c r="AG20">
        <f>$A18*AH$4-Wing_Layout!$F$17</f>
        <v>29.24416</v>
      </c>
      <c r="AH20">
        <f t="shared" si="7"/>
        <v>10.06682</v>
      </c>
      <c r="AJ20">
        <f>$A18*AK$4-Wing_Layout!$F$18</f>
        <v>29.67536</v>
      </c>
      <c r="AK20">
        <f t="shared" si="8"/>
        <v>12.93672</v>
      </c>
    </row>
    <row r="21" spans="1:37" ht="12.75">
      <c r="A21">
        <v>0.47119</v>
      </c>
      <c r="B21">
        <v>0.06867</v>
      </c>
      <c r="I21">
        <f>$A19*J$4-Wing_Layout!$F$9</f>
        <v>24.581375</v>
      </c>
      <c r="J21">
        <f t="shared" si="9"/>
        <v>-12.04302</v>
      </c>
      <c r="L21">
        <f>$A19*M$4-Wing_Layout!$F$10</f>
        <v>25.2051</v>
      </c>
      <c r="M21">
        <f t="shared" si="0"/>
        <v>-9.831548</v>
      </c>
      <c r="O21">
        <f>$A19*P$4-Wing_Layout!$F$11</f>
        <v>26.404200000000003</v>
      </c>
      <c r="P21">
        <f t="shared" si="1"/>
        <v>-7.295388</v>
      </c>
      <c r="R21">
        <f>$A19*S$4-Wing_Layout!$F$12</f>
        <v>27.103900000000003</v>
      </c>
      <c r="S21">
        <f t="shared" si="2"/>
        <v>-4.49252</v>
      </c>
      <c r="U21">
        <f>$A19*V$4-Wing_Layout!$F$13</f>
        <v>27.353749999999998</v>
      </c>
      <c r="V21">
        <f t="shared" si="3"/>
        <v>-1.5505</v>
      </c>
      <c r="X21">
        <f>$A19*Y$4-Wing_Layout!$F$14</f>
        <v>27.6036</v>
      </c>
      <c r="Y21">
        <f t="shared" si="4"/>
        <v>1.3915199999999999</v>
      </c>
      <c r="AA21">
        <f>$A19*AB$4-Wing_Layout!$F$15</f>
        <v>27.853450000000002</v>
      </c>
      <c r="AB21">
        <f t="shared" si="5"/>
        <v>4.33354</v>
      </c>
      <c r="AD21">
        <f>$A19*AE$4-Wing_Layout!$F$16</f>
        <v>28.1033</v>
      </c>
      <c r="AE21">
        <f t="shared" si="6"/>
        <v>7.2755600000000005</v>
      </c>
      <c r="AG21">
        <f>$A19*AH$4-Wing_Layout!$F$17</f>
        <v>28.478075</v>
      </c>
      <c r="AH21">
        <f t="shared" si="7"/>
        <v>10.18859</v>
      </c>
      <c r="AJ21">
        <f>$A19*AK$4-Wing_Layout!$F$18</f>
        <v>29.002700000000004</v>
      </c>
      <c r="AK21">
        <f t="shared" si="8"/>
        <v>13.04364</v>
      </c>
    </row>
    <row r="22" spans="1:37" ht="12.75">
      <c r="A22">
        <v>0.43098</v>
      </c>
      <c r="B22">
        <v>0.07313</v>
      </c>
      <c r="I22">
        <f>$A20*J$4-Wing_Layout!$F$9</f>
        <v>22.923450000000003</v>
      </c>
      <c r="J22">
        <f t="shared" si="9"/>
        <v>-11.75793</v>
      </c>
      <c r="L22">
        <f>$A20*M$4-Wing_Layout!$F$10</f>
        <v>23.87876</v>
      </c>
      <c r="M22">
        <f t="shared" si="0"/>
        <v>-9.622482</v>
      </c>
      <c r="O22">
        <f>$A20*P$4-Wing_Layout!$F$11</f>
        <v>25.31192</v>
      </c>
      <c r="P22">
        <f t="shared" si="1"/>
        <v>-7.131042</v>
      </c>
      <c r="R22">
        <f>$A20*S$4-Wing_Layout!$F$12</f>
        <v>26.089640000000003</v>
      </c>
      <c r="S22">
        <f t="shared" si="2"/>
        <v>-4.34718</v>
      </c>
      <c r="U22">
        <f>$A20*V$4-Wing_Layout!$F$13</f>
        <v>26.378500000000003</v>
      </c>
      <c r="V22">
        <f t="shared" si="3"/>
        <v>-1.41075</v>
      </c>
      <c r="X22">
        <f>$A20*Y$4-Wing_Layout!$F$14</f>
        <v>26.667360000000002</v>
      </c>
      <c r="Y22">
        <f t="shared" si="4"/>
        <v>1.52568</v>
      </c>
      <c r="AA22">
        <f>$A20*AB$4-Wing_Layout!$F$15</f>
        <v>26.956220000000002</v>
      </c>
      <c r="AB22">
        <f t="shared" si="5"/>
        <v>4.46211</v>
      </c>
      <c r="AD22">
        <f>$A20*AE$4-Wing_Layout!$F$16</f>
        <v>27.24508</v>
      </c>
      <c r="AE22">
        <f t="shared" si="6"/>
        <v>7.398540000000001</v>
      </c>
      <c r="AG22">
        <f>$A20*AH$4-Wing_Layout!$F$17</f>
        <v>27.67837</v>
      </c>
      <c r="AH22">
        <f t="shared" si="7"/>
        <v>10.303185</v>
      </c>
      <c r="AJ22">
        <f>$A20*AK$4-Wing_Layout!$F$18</f>
        <v>28.300520000000002</v>
      </c>
      <c r="AK22">
        <f t="shared" si="8"/>
        <v>13.14426</v>
      </c>
    </row>
    <row r="23" spans="1:37" ht="12.75">
      <c r="A23">
        <v>0.3912</v>
      </c>
      <c r="B23">
        <v>0.07683</v>
      </c>
      <c r="I23">
        <f>$A21*J$4-Wing_Layout!$F$9</f>
        <v>21.225575</v>
      </c>
      <c r="J23">
        <f t="shared" si="9"/>
        <v>-11.49783</v>
      </c>
      <c r="L23">
        <f>$A21*M$4-Wing_Layout!$F$10</f>
        <v>22.52046</v>
      </c>
      <c r="M23">
        <f t="shared" si="0"/>
        <v>-9.431742</v>
      </c>
      <c r="O23">
        <f>$A21*P$4-Wing_Layout!$F$11</f>
        <v>24.19332</v>
      </c>
      <c r="P23">
        <f t="shared" si="1"/>
        <v>-6.981102</v>
      </c>
      <c r="R23">
        <f>$A21*S$4-Wing_Layout!$F$12</f>
        <v>25.05094</v>
      </c>
      <c r="S23">
        <f t="shared" si="2"/>
        <v>-4.21458</v>
      </c>
      <c r="U23">
        <f>$A21*V$4-Wing_Layout!$F$13</f>
        <v>25.37975</v>
      </c>
      <c r="V23">
        <f t="shared" si="3"/>
        <v>-1.2832500000000002</v>
      </c>
      <c r="X23">
        <f>$A21*Y$4-Wing_Layout!$F$14</f>
        <v>25.70856</v>
      </c>
      <c r="Y23">
        <f t="shared" si="4"/>
        <v>1.6480799999999998</v>
      </c>
      <c r="AA23">
        <f>$A21*AB$4-Wing_Layout!$F$15</f>
        <v>26.03737</v>
      </c>
      <c r="AB23">
        <f t="shared" si="5"/>
        <v>4.57941</v>
      </c>
      <c r="AD23">
        <f>$A21*AE$4-Wing_Layout!$F$16</f>
        <v>26.36618</v>
      </c>
      <c r="AE23">
        <f t="shared" si="6"/>
        <v>7.51074</v>
      </c>
      <c r="AG23">
        <f>$A21*AH$4-Wing_Layout!$F$17</f>
        <v>26.859395</v>
      </c>
      <c r="AH23">
        <f t="shared" si="7"/>
        <v>10.407735</v>
      </c>
      <c r="AJ23">
        <f>$A21*AK$4-Wing_Layout!$F$18</f>
        <v>27.58142</v>
      </c>
      <c r="AK23">
        <f t="shared" si="8"/>
        <v>13.23606</v>
      </c>
    </row>
    <row r="24" spans="1:37" ht="12.75">
      <c r="A24">
        <v>0.35253</v>
      </c>
      <c r="B24">
        <v>0.0796</v>
      </c>
      <c r="I24">
        <f>$A22*J$4-Wing_Layout!$F$9</f>
        <v>19.51665</v>
      </c>
      <c r="J24">
        <f t="shared" si="9"/>
        <v>-11.27037</v>
      </c>
      <c r="L24">
        <f>$A22*M$4-Wing_Layout!$F$10</f>
        <v>21.15332</v>
      </c>
      <c r="M24">
        <f t="shared" si="0"/>
        <v>-9.264938</v>
      </c>
      <c r="O24">
        <f>$A22*P$4-Wing_Layout!$F$11</f>
        <v>23.067439999999998</v>
      </c>
      <c r="P24">
        <f t="shared" si="1"/>
        <v>-6.849978</v>
      </c>
      <c r="R24">
        <f>$A22*S$4-Wing_Layout!$F$12</f>
        <v>24.00548</v>
      </c>
      <c r="S24">
        <f t="shared" si="2"/>
        <v>-4.09862</v>
      </c>
      <c r="U24">
        <f>$A22*V$4-Wing_Layout!$F$13</f>
        <v>24.374499999999998</v>
      </c>
      <c r="V24">
        <f t="shared" si="3"/>
        <v>-1.17175</v>
      </c>
      <c r="X24">
        <f>$A22*Y$4-Wing_Layout!$F$14</f>
        <v>24.74352</v>
      </c>
      <c r="Y24">
        <f t="shared" si="4"/>
        <v>1.75512</v>
      </c>
      <c r="AA24">
        <f>$A22*AB$4-Wing_Layout!$F$15</f>
        <v>25.11254</v>
      </c>
      <c r="AB24">
        <f t="shared" si="5"/>
        <v>4.68199</v>
      </c>
      <c r="AD24">
        <f>$A22*AE$4-Wing_Layout!$F$16</f>
        <v>25.48156</v>
      </c>
      <c r="AE24">
        <f t="shared" si="6"/>
        <v>7.60886</v>
      </c>
      <c r="AG24">
        <f>$A22*AH$4-Wing_Layout!$F$17</f>
        <v>26.035089999999997</v>
      </c>
      <c r="AH24">
        <f t="shared" si="7"/>
        <v>10.499165</v>
      </c>
      <c r="AJ24">
        <f>$A22*AK$4-Wing_Layout!$F$18</f>
        <v>26.85764</v>
      </c>
      <c r="AK24">
        <f t="shared" si="8"/>
        <v>13.31634</v>
      </c>
    </row>
    <row r="25" spans="1:37" ht="12.75">
      <c r="A25">
        <v>0.31566</v>
      </c>
      <c r="B25">
        <v>0.08133</v>
      </c>
      <c r="I25">
        <f>$A23*J$4-Wing_Layout!$F$9</f>
        <v>17.826</v>
      </c>
      <c r="J25">
        <f t="shared" si="9"/>
        <v>-11.08167</v>
      </c>
      <c r="L25">
        <f>$A23*M$4-Wing_Layout!$F$10</f>
        <v>19.8008</v>
      </c>
      <c r="M25">
        <f t="shared" si="0"/>
        <v>-9.126558</v>
      </c>
      <c r="O25">
        <f>$A23*P$4-Wing_Layout!$F$11</f>
        <v>21.9536</v>
      </c>
      <c r="P25">
        <f t="shared" si="1"/>
        <v>-6.741198000000001</v>
      </c>
      <c r="R25">
        <f>$A23*S$4-Wing_Layout!$F$12</f>
        <v>22.9712</v>
      </c>
      <c r="S25">
        <f t="shared" si="2"/>
        <v>-4.00242</v>
      </c>
      <c r="U25">
        <f>$A23*V$4-Wing_Layout!$F$13</f>
        <v>23.38</v>
      </c>
      <c r="V25">
        <f t="shared" si="3"/>
        <v>-1.07925</v>
      </c>
      <c r="X25">
        <f>$A23*Y$4-Wing_Layout!$F$14</f>
        <v>23.788800000000002</v>
      </c>
      <c r="Y25">
        <f t="shared" si="4"/>
        <v>1.8439199999999998</v>
      </c>
      <c r="AA25">
        <f>$A23*AB$4-Wing_Layout!$F$15</f>
        <v>24.1976</v>
      </c>
      <c r="AB25">
        <f t="shared" si="5"/>
        <v>4.76709</v>
      </c>
      <c r="AD25">
        <f>$A23*AE$4-Wing_Layout!$F$16</f>
        <v>24.6064</v>
      </c>
      <c r="AE25">
        <f t="shared" si="6"/>
        <v>7.69026</v>
      </c>
      <c r="AG25">
        <f>$A23*AH$4-Wing_Layout!$F$17</f>
        <v>25.2196</v>
      </c>
      <c r="AH25">
        <f t="shared" si="7"/>
        <v>10.575015</v>
      </c>
      <c r="AJ25">
        <f>$A23*AK$4-Wing_Layout!$F$18</f>
        <v>26.1416</v>
      </c>
      <c r="AK25">
        <f t="shared" si="8"/>
        <v>13.38294</v>
      </c>
    </row>
    <row r="26" spans="1:37" ht="12.75">
      <c r="A26">
        <v>0.28092</v>
      </c>
      <c r="B26">
        <v>0.08199</v>
      </c>
      <c r="I26">
        <f>$A24*J$4-Wing_Layout!$F$9</f>
        <v>16.182525000000002</v>
      </c>
      <c r="J26">
        <f t="shared" si="9"/>
        <v>-10.9404</v>
      </c>
      <c r="L26">
        <f>$A24*M$4-Wing_Layout!$F$10</f>
        <v>18.48602</v>
      </c>
      <c r="M26">
        <f t="shared" si="0"/>
        <v>-9.02296</v>
      </c>
      <c r="O26">
        <f>$A24*P$4-Wing_Layout!$F$11</f>
        <v>20.87084</v>
      </c>
      <c r="P26">
        <f t="shared" si="1"/>
        <v>-6.65976</v>
      </c>
      <c r="R26">
        <f>$A24*S$4-Wing_Layout!$F$12</f>
        <v>21.965780000000002</v>
      </c>
      <c r="S26">
        <f t="shared" si="2"/>
        <v>-3.9303999999999997</v>
      </c>
      <c r="U26">
        <f>$A24*V$4-Wing_Layout!$F$13</f>
        <v>22.413249999999998</v>
      </c>
      <c r="V26">
        <f t="shared" si="3"/>
        <v>-1.0099999999999998</v>
      </c>
      <c r="X26">
        <f>$A24*Y$4-Wing_Layout!$F$14</f>
        <v>22.86072</v>
      </c>
      <c r="Y26">
        <f t="shared" si="4"/>
        <v>1.9104</v>
      </c>
      <c r="AA26">
        <f>$A24*AB$4-Wing_Layout!$F$15</f>
        <v>23.30819</v>
      </c>
      <c r="AB26">
        <f t="shared" si="5"/>
        <v>4.8308</v>
      </c>
      <c r="AD26">
        <f>$A24*AE$4-Wing_Layout!$F$16</f>
        <v>23.75566</v>
      </c>
      <c r="AE26">
        <f t="shared" si="6"/>
        <v>7.7512</v>
      </c>
      <c r="AG26">
        <f>$A24*AH$4-Wing_Layout!$F$17</f>
        <v>24.426865</v>
      </c>
      <c r="AH26">
        <f t="shared" si="7"/>
        <v>10.6318</v>
      </c>
      <c r="AJ26">
        <f>$A24*AK$4-Wing_Layout!$F$18</f>
        <v>25.44554</v>
      </c>
      <c r="AK26">
        <f t="shared" si="8"/>
        <v>13.4328</v>
      </c>
    </row>
    <row r="27" spans="1:37" ht="12.75">
      <c r="A27">
        <v>0.2483</v>
      </c>
      <c r="B27">
        <v>0.08163</v>
      </c>
      <c r="I27">
        <f>$A25*J$4-Wing_Layout!$F$9</f>
        <v>14.615549999999999</v>
      </c>
      <c r="J27">
        <f t="shared" si="9"/>
        <v>-10.852170000000001</v>
      </c>
      <c r="L27">
        <f>$A25*M$4-Wing_Layout!$F$10</f>
        <v>17.23244</v>
      </c>
      <c r="M27">
        <f t="shared" si="0"/>
        <v>-8.958258</v>
      </c>
      <c r="O27">
        <f>$A25*P$4-Wing_Layout!$F$11</f>
        <v>19.83848</v>
      </c>
      <c r="P27">
        <f t="shared" si="1"/>
        <v>-6.608898</v>
      </c>
      <c r="R27">
        <f>$A25*S$4-Wing_Layout!$F$12</f>
        <v>21.00716</v>
      </c>
      <c r="S27">
        <f t="shared" si="2"/>
        <v>-3.88542</v>
      </c>
      <c r="U27">
        <f>$A25*V$4-Wing_Layout!$F$13</f>
        <v>21.4915</v>
      </c>
      <c r="V27">
        <f t="shared" si="3"/>
        <v>-0.9667500000000002</v>
      </c>
      <c r="X27">
        <f>$A25*Y$4-Wing_Layout!$F$14</f>
        <v>21.975839999999998</v>
      </c>
      <c r="Y27">
        <f t="shared" si="4"/>
        <v>1.9519199999999999</v>
      </c>
      <c r="AA27">
        <f>$A25*AB$4-Wing_Layout!$F$15</f>
        <v>22.46018</v>
      </c>
      <c r="AB27">
        <f t="shared" si="5"/>
        <v>4.87059</v>
      </c>
      <c r="AD27">
        <f>$A25*AE$4-Wing_Layout!$F$16</f>
        <v>22.94452</v>
      </c>
      <c r="AE27">
        <f t="shared" si="6"/>
        <v>7.7892600000000005</v>
      </c>
      <c r="AG27">
        <f>$A25*AH$4-Wing_Layout!$F$17</f>
        <v>23.67103</v>
      </c>
      <c r="AH27">
        <f t="shared" si="7"/>
        <v>10.667265</v>
      </c>
      <c r="AJ27">
        <f>$A25*AK$4-Wing_Layout!$F$18</f>
        <v>24.78188</v>
      </c>
      <c r="AK27">
        <f t="shared" si="8"/>
        <v>13.463940000000001</v>
      </c>
    </row>
    <row r="28" spans="1:37" ht="12.75">
      <c r="A28">
        <v>0.21781</v>
      </c>
      <c r="B28">
        <v>0.08033</v>
      </c>
      <c r="I28">
        <f>$A26*J$4-Wing_Layout!$F$9</f>
        <v>13.1391</v>
      </c>
      <c r="J28">
        <f t="shared" si="9"/>
        <v>-10.81851</v>
      </c>
      <c r="L28">
        <f>$A26*M$4-Wing_Layout!$F$10</f>
        <v>16.05128</v>
      </c>
      <c r="M28">
        <f t="shared" si="0"/>
        <v>-8.933574</v>
      </c>
      <c r="O28">
        <f>$A26*P$4-Wing_Layout!$F$11</f>
        <v>18.86576</v>
      </c>
      <c r="P28">
        <f t="shared" si="1"/>
        <v>-6.589494</v>
      </c>
      <c r="R28">
        <f>$A26*S$4-Wing_Layout!$F$12</f>
        <v>20.103920000000002</v>
      </c>
      <c r="S28">
        <f t="shared" si="2"/>
        <v>-3.8682600000000003</v>
      </c>
      <c r="U28">
        <f>$A26*V$4-Wing_Layout!$F$13</f>
        <v>20.622999999999998</v>
      </c>
      <c r="V28">
        <f t="shared" si="3"/>
        <v>-0.95025</v>
      </c>
      <c r="X28">
        <f>$A26*Y$4-Wing_Layout!$F$14</f>
        <v>21.14208</v>
      </c>
      <c r="Y28">
        <f t="shared" si="4"/>
        <v>1.9677599999999997</v>
      </c>
      <c r="AA28">
        <f>$A26*AB$4-Wing_Layout!$F$15</f>
        <v>21.66116</v>
      </c>
      <c r="AB28">
        <f t="shared" si="5"/>
        <v>4.88577</v>
      </c>
      <c r="AD28">
        <f>$A26*AE$4-Wing_Layout!$F$16</f>
        <v>22.18024</v>
      </c>
      <c r="AE28">
        <f t="shared" si="6"/>
        <v>7.80378</v>
      </c>
      <c r="AG28">
        <f>$A26*AH$4-Wing_Layout!$F$17</f>
        <v>22.95886</v>
      </c>
      <c r="AH28">
        <f t="shared" si="7"/>
        <v>10.680795</v>
      </c>
      <c r="AJ28">
        <f>$A26*AK$4-Wing_Layout!$F$18</f>
        <v>24.156560000000002</v>
      </c>
      <c r="AK28">
        <f t="shared" si="8"/>
        <v>13.47582</v>
      </c>
    </row>
    <row r="29" spans="1:37" ht="12.75">
      <c r="A29">
        <v>0.18943</v>
      </c>
      <c r="B29">
        <v>0.07816</v>
      </c>
      <c r="I29">
        <f>$A27*J$4-Wing_Layout!$F$9</f>
        <v>11.752749999999999</v>
      </c>
      <c r="J29">
        <f t="shared" si="9"/>
        <v>-10.836870000000001</v>
      </c>
      <c r="L29">
        <f>$A27*M$4-Wing_Layout!$F$10</f>
        <v>14.9422</v>
      </c>
      <c r="M29">
        <f t="shared" si="0"/>
        <v>-8.947038</v>
      </c>
      <c r="O29">
        <f>$A27*P$4-Wing_Layout!$F$11</f>
        <v>17.9524</v>
      </c>
      <c r="P29">
        <f t="shared" si="1"/>
        <v>-6.600078</v>
      </c>
      <c r="R29">
        <f>$A27*S$4-Wing_Layout!$F$12</f>
        <v>19.2558</v>
      </c>
      <c r="S29">
        <f t="shared" si="2"/>
        <v>-3.8776200000000003</v>
      </c>
      <c r="U29">
        <f>$A27*V$4-Wing_Layout!$F$13</f>
        <v>19.807499999999997</v>
      </c>
      <c r="V29">
        <f t="shared" si="3"/>
        <v>-0.9592499999999999</v>
      </c>
      <c r="X29">
        <f>$A27*Y$4-Wing_Layout!$F$14</f>
        <v>20.3592</v>
      </c>
      <c r="Y29">
        <f t="shared" si="4"/>
        <v>1.95912</v>
      </c>
      <c r="AA29">
        <f>$A27*AB$4-Wing_Layout!$F$15</f>
        <v>20.910899999999998</v>
      </c>
      <c r="AB29">
        <f t="shared" si="5"/>
        <v>4.87749</v>
      </c>
      <c r="AD29">
        <f>$A27*AE$4-Wing_Layout!$F$16</f>
        <v>21.462600000000002</v>
      </c>
      <c r="AE29">
        <f t="shared" si="6"/>
        <v>7.795859999999999</v>
      </c>
      <c r="AG29">
        <f>$A27*AH$4-Wing_Layout!$F$17</f>
        <v>22.290149999999997</v>
      </c>
      <c r="AH29">
        <f t="shared" si="7"/>
        <v>10.673415</v>
      </c>
      <c r="AJ29">
        <f>$A27*AK$4-Wing_Layout!$F$18</f>
        <v>23.5694</v>
      </c>
      <c r="AK29">
        <f t="shared" si="8"/>
        <v>13.469339999999999</v>
      </c>
    </row>
    <row r="30" spans="1:37" ht="12.75">
      <c r="A30">
        <v>0.16314</v>
      </c>
      <c r="B30">
        <v>0.07519</v>
      </c>
      <c r="I30">
        <f>$A28*J$4-Wing_Layout!$F$9</f>
        <v>10.456925</v>
      </c>
      <c r="J30">
        <f t="shared" si="9"/>
        <v>-10.90317</v>
      </c>
      <c r="L30">
        <f>$A28*M$4-Wing_Layout!$F$10</f>
        <v>13.90554</v>
      </c>
      <c r="M30">
        <f t="shared" si="0"/>
        <v>-8.995657999999999</v>
      </c>
      <c r="O30">
        <f>$A28*P$4-Wing_Layout!$F$11</f>
        <v>17.09868</v>
      </c>
      <c r="P30">
        <f t="shared" si="1"/>
        <v>-6.638298</v>
      </c>
      <c r="R30">
        <f>$A28*S$4-Wing_Layout!$F$12</f>
        <v>18.46306</v>
      </c>
      <c r="S30">
        <f t="shared" si="2"/>
        <v>-3.91142</v>
      </c>
      <c r="U30">
        <f>$A28*V$4-Wing_Layout!$F$13</f>
        <v>19.04525</v>
      </c>
      <c r="V30">
        <f t="shared" si="3"/>
        <v>-0.9917500000000001</v>
      </c>
      <c r="X30">
        <f>$A28*Y$4-Wing_Layout!$F$14</f>
        <v>19.62744</v>
      </c>
      <c r="Y30">
        <f t="shared" si="4"/>
        <v>1.9279199999999999</v>
      </c>
      <c r="AA30">
        <f>$A28*AB$4-Wing_Layout!$F$15</f>
        <v>20.20963</v>
      </c>
      <c r="AB30">
        <f t="shared" si="5"/>
        <v>4.84759</v>
      </c>
      <c r="AD30">
        <f>$A28*AE$4-Wing_Layout!$F$16</f>
        <v>20.79182</v>
      </c>
      <c r="AE30">
        <f t="shared" si="6"/>
        <v>7.76726</v>
      </c>
      <c r="AG30">
        <f>$A28*AH$4-Wing_Layout!$F$17</f>
        <v>21.665105</v>
      </c>
      <c r="AH30">
        <f t="shared" si="7"/>
        <v>10.646765</v>
      </c>
      <c r="AJ30">
        <f>$A28*AK$4-Wing_Layout!$F$18</f>
        <v>23.020580000000002</v>
      </c>
      <c r="AK30">
        <f t="shared" si="8"/>
        <v>13.44594</v>
      </c>
    </row>
    <row r="31" spans="1:37" ht="12.75">
      <c r="A31">
        <v>0.13895</v>
      </c>
      <c r="B31">
        <v>0.0715</v>
      </c>
      <c r="I31">
        <f>$A29*J$4-Wing_Layout!$F$9</f>
        <v>9.250774999999999</v>
      </c>
      <c r="J31">
        <f t="shared" si="9"/>
        <v>-11.01384</v>
      </c>
      <c r="L31">
        <f>$A29*M$4-Wing_Layout!$F$10</f>
        <v>12.94062</v>
      </c>
      <c r="M31">
        <f t="shared" si="0"/>
        <v>-9.076816</v>
      </c>
      <c r="O31">
        <f>$A29*P$4-Wing_Layout!$F$11</f>
        <v>16.30404</v>
      </c>
      <c r="P31">
        <f t="shared" si="1"/>
        <v>-6.702096</v>
      </c>
      <c r="R31">
        <f>$A29*S$4-Wing_Layout!$F$12</f>
        <v>17.72518</v>
      </c>
      <c r="S31">
        <f t="shared" si="2"/>
        <v>-3.9678400000000003</v>
      </c>
      <c r="U31">
        <f>$A29*V$4-Wing_Layout!$F$13</f>
        <v>18.335749999999997</v>
      </c>
      <c r="V31">
        <f t="shared" si="3"/>
        <v>-1.0460000000000003</v>
      </c>
      <c r="X31">
        <f>$A29*Y$4-Wing_Layout!$F$14</f>
        <v>18.94632</v>
      </c>
      <c r="Y31">
        <f t="shared" si="4"/>
        <v>1.8758399999999997</v>
      </c>
      <c r="AA31">
        <f>$A29*AB$4-Wing_Layout!$F$15</f>
        <v>19.55689</v>
      </c>
      <c r="AB31">
        <f t="shared" si="5"/>
        <v>4.79768</v>
      </c>
      <c r="AD31">
        <f>$A29*AE$4-Wing_Layout!$F$16</f>
        <v>20.16746</v>
      </c>
      <c r="AE31">
        <f t="shared" si="6"/>
        <v>7.71952</v>
      </c>
      <c r="AG31">
        <f>$A29*AH$4-Wing_Layout!$F$17</f>
        <v>21.083315</v>
      </c>
      <c r="AH31">
        <f t="shared" si="7"/>
        <v>10.60228</v>
      </c>
      <c r="AJ31">
        <f>$A29*AK$4-Wing_Layout!$F$18</f>
        <v>22.50974</v>
      </c>
      <c r="AK31">
        <f t="shared" si="8"/>
        <v>13.40688</v>
      </c>
    </row>
    <row r="32" spans="1:37" ht="12.75">
      <c r="A32">
        <v>0.11684</v>
      </c>
      <c r="B32">
        <v>0.06715</v>
      </c>
      <c r="I32">
        <f>$A30*J$4-Wing_Layout!$F$9</f>
        <v>8.13345</v>
      </c>
      <c r="J32">
        <f t="shared" si="9"/>
        <v>-11.16531</v>
      </c>
      <c r="L32">
        <f>$A30*M$4-Wing_Layout!$F$10</f>
        <v>12.046759999999999</v>
      </c>
      <c r="M32">
        <f t="shared" si="0"/>
        <v>-9.187894</v>
      </c>
      <c r="O32">
        <f>$A30*P$4-Wing_Layout!$F$11</f>
        <v>15.56792</v>
      </c>
      <c r="P32">
        <f t="shared" si="1"/>
        <v>-6.789414</v>
      </c>
      <c r="R32">
        <f>$A30*S$4-Wing_Layout!$F$12</f>
        <v>17.04164</v>
      </c>
      <c r="S32">
        <f t="shared" si="2"/>
        <v>-4.045059999999999</v>
      </c>
      <c r="U32">
        <f>$A30*V$4-Wing_Layout!$F$13</f>
        <v>17.6785</v>
      </c>
      <c r="V32">
        <f t="shared" si="3"/>
        <v>-1.1202499999999997</v>
      </c>
      <c r="X32">
        <f>$A30*Y$4-Wing_Layout!$F$14</f>
        <v>18.315360000000002</v>
      </c>
      <c r="Y32">
        <f t="shared" si="4"/>
        <v>1.8045600000000002</v>
      </c>
      <c r="AA32">
        <f>$A30*AB$4-Wing_Layout!$F$15</f>
        <v>18.95222</v>
      </c>
      <c r="AB32">
        <f t="shared" si="5"/>
        <v>4.72937</v>
      </c>
      <c r="AD32">
        <f>$A30*AE$4-Wing_Layout!$F$16</f>
        <v>19.58908</v>
      </c>
      <c r="AE32">
        <f t="shared" si="6"/>
        <v>7.65418</v>
      </c>
      <c r="AG32">
        <f>$A30*AH$4-Wing_Layout!$F$17</f>
        <v>20.54437</v>
      </c>
      <c r="AH32">
        <f t="shared" si="7"/>
        <v>10.541395</v>
      </c>
      <c r="AJ32">
        <f>$A30*AK$4-Wing_Layout!$F$18</f>
        <v>22.036520000000003</v>
      </c>
      <c r="AK32">
        <f t="shared" si="8"/>
        <v>13.35342</v>
      </c>
    </row>
    <row r="33" spans="1:37" ht="12.75">
      <c r="A33">
        <v>0.09679</v>
      </c>
      <c r="B33">
        <v>0.06222</v>
      </c>
      <c r="I33">
        <f>$A31*J$4-Wing_Layout!$F$9</f>
        <v>7.1053749999999996</v>
      </c>
      <c r="J33">
        <f t="shared" si="9"/>
        <v>-11.3535</v>
      </c>
      <c r="L33">
        <f>$A31*M$4-Wing_Layout!$F$10</f>
        <v>11.2243</v>
      </c>
      <c r="M33">
        <f t="shared" si="0"/>
        <v>-9.3259</v>
      </c>
      <c r="O33">
        <f>$A31*P$4-Wing_Layout!$F$11</f>
        <v>14.8906</v>
      </c>
      <c r="P33">
        <f t="shared" si="1"/>
        <v>-6.8979</v>
      </c>
      <c r="R33">
        <f>$A31*S$4-Wing_Layout!$F$12</f>
        <v>16.4127</v>
      </c>
      <c r="S33">
        <f t="shared" si="2"/>
        <v>-4.141</v>
      </c>
      <c r="U33">
        <f>$A31*V$4-Wing_Layout!$F$13</f>
        <v>17.07375</v>
      </c>
      <c r="V33">
        <f t="shared" si="3"/>
        <v>-1.2125000000000001</v>
      </c>
      <c r="X33">
        <f>$A31*Y$4-Wing_Layout!$F$14</f>
        <v>17.7348</v>
      </c>
      <c r="Y33">
        <f t="shared" si="4"/>
        <v>1.7159999999999997</v>
      </c>
      <c r="AA33">
        <f>$A31*AB$4-Wing_Layout!$F$15</f>
        <v>18.39585</v>
      </c>
      <c r="AB33">
        <f t="shared" si="5"/>
        <v>4.6445</v>
      </c>
      <c r="AD33">
        <f>$A31*AE$4-Wing_Layout!$F$16</f>
        <v>19.0569</v>
      </c>
      <c r="AE33">
        <f t="shared" si="6"/>
        <v>7.573</v>
      </c>
      <c r="AG33">
        <f>$A31*AH$4-Wing_Layout!$F$17</f>
        <v>20.048475</v>
      </c>
      <c r="AH33">
        <f t="shared" si="7"/>
        <v>10.46575</v>
      </c>
      <c r="AJ33">
        <f>$A31*AK$4-Wing_Layout!$F$18</f>
        <v>21.601100000000002</v>
      </c>
      <c r="AK33">
        <f t="shared" si="8"/>
        <v>13.286999999999999</v>
      </c>
    </row>
    <row r="34" spans="1:37" ht="12.75">
      <c r="A34">
        <v>0.07879</v>
      </c>
      <c r="B34">
        <v>0.05677</v>
      </c>
      <c r="I34">
        <f>$A32*J$4-Wing_Layout!$F$9</f>
        <v>6.1657</v>
      </c>
      <c r="J34">
        <f t="shared" si="9"/>
        <v>-11.57535</v>
      </c>
      <c r="L34">
        <f>$A32*M$4-Wing_Layout!$F$10</f>
        <v>10.47256</v>
      </c>
      <c r="M34">
        <f t="shared" si="0"/>
        <v>-9.488589999999999</v>
      </c>
      <c r="O34">
        <f>$A32*P$4-Wing_Layout!$F$11</f>
        <v>14.271519999999999</v>
      </c>
      <c r="P34">
        <f t="shared" si="1"/>
        <v>-7.02579</v>
      </c>
      <c r="R34">
        <f>$A32*S$4-Wing_Layout!$F$12</f>
        <v>15.83784</v>
      </c>
      <c r="S34">
        <f t="shared" si="2"/>
        <v>-4.2541</v>
      </c>
      <c r="U34">
        <f>$A32*V$4-Wing_Layout!$F$13</f>
        <v>16.521</v>
      </c>
      <c r="V34">
        <f t="shared" si="3"/>
        <v>-1.32125</v>
      </c>
      <c r="X34">
        <f>$A32*Y$4-Wing_Layout!$F$14</f>
        <v>17.20416</v>
      </c>
      <c r="Y34">
        <f t="shared" si="4"/>
        <v>1.6116000000000001</v>
      </c>
      <c r="AA34">
        <f>$A32*AB$4-Wing_Layout!$F$15</f>
        <v>17.88732</v>
      </c>
      <c r="AB34">
        <f t="shared" si="5"/>
        <v>4.54445</v>
      </c>
      <c r="AD34">
        <f>$A32*AE$4-Wing_Layout!$F$16</f>
        <v>18.57048</v>
      </c>
      <c r="AE34">
        <f t="shared" si="6"/>
        <v>7.4773</v>
      </c>
      <c r="AG34">
        <f>$A32*AH$4-Wing_Layout!$F$17</f>
        <v>19.595219999999998</v>
      </c>
      <c r="AH34">
        <f t="shared" si="7"/>
        <v>10.376575</v>
      </c>
      <c r="AJ34">
        <f>$A32*AK$4-Wing_Layout!$F$18</f>
        <v>21.203120000000002</v>
      </c>
      <c r="AK34">
        <f t="shared" si="8"/>
        <v>13.2087</v>
      </c>
    </row>
    <row r="35" spans="1:37" ht="12.75">
      <c r="A35">
        <v>0.06284</v>
      </c>
      <c r="B35">
        <v>0.05089</v>
      </c>
      <c r="I35">
        <f>$A33*J$4-Wing_Layout!$F$9</f>
        <v>5.313575</v>
      </c>
      <c r="J35">
        <f t="shared" si="9"/>
        <v>-11.82678</v>
      </c>
      <c r="L35">
        <f>$A33*M$4-Wing_Layout!$F$10</f>
        <v>9.79086</v>
      </c>
      <c r="M35">
        <f t="shared" si="0"/>
        <v>-9.672972</v>
      </c>
      <c r="O35">
        <f>$A33*P$4-Wing_Layout!$F$11</f>
        <v>13.71012</v>
      </c>
      <c r="P35">
        <f t="shared" si="1"/>
        <v>-7.170732</v>
      </c>
      <c r="R35">
        <f>$A33*S$4-Wing_Layout!$F$12</f>
        <v>15.31654</v>
      </c>
      <c r="S35">
        <f t="shared" si="2"/>
        <v>-4.38228</v>
      </c>
      <c r="U35">
        <f>$A33*V$4-Wing_Layout!$F$13</f>
        <v>16.01975</v>
      </c>
      <c r="V35">
        <f t="shared" si="3"/>
        <v>-1.4445000000000001</v>
      </c>
      <c r="X35">
        <f>$A33*Y$4-Wing_Layout!$F$14</f>
        <v>16.72296</v>
      </c>
      <c r="Y35">
        <f t="shared" si="4"/>
        <v>1.49328</v>
      </c>
      <c r="AA35">
        <f>$A33*AB$4-Wing_Layout!$F$15</f>
        <v>17.42617</v>
      </c>
      <c r="AB35">
        <f t="shared" si="5"/>
        <v>4.43106</v>
      </c>
      <c r="AD35">
        <f>$A33*AE$4-Wing_Layout!$F$16</f>
        <v>18.12938</v>
      </c>
      <c r="AE35">
        <f t="shared" si="6"/>
        <v>7.3688400000000005</v>
      </c>
      <c r="AG35">
        <f>$A33*AH$4-Wing_Layout!$F$17</f>
        <v>19.184195</v>
      </c>
      <c r="AH35">
        <f t="shared" si="7"/>
        <v>10.27551</v>
      </c>
      <c r="AJ35">
        <f>$A33*AK$4-Wing_Layout!$F$18</f>
        <v>20.84222</v>
      </c>
      <c r="AK35">
        <f t="shared" si="8"/>
        <v>13.119959999999999</v>
      </c>
    </row>
    <row r="36" spans="1:37" ht="12.75">
      <c r="A36">
        <v>0.04888</v>
      </c>
      <c r="B36">
        <v>0.0447</v>
      </c>
      <c r="I36">
        <f>$A34*J$4-Wing_Layout!$F$9</f>
        <v>4.548575</v>
      </c>
      <c r="J36">
        <f t="shared" si="9"/>
        <v>-12.10473</v>
      </c>
      <c r="L36">
        <f>$A34*M$4-Wing_Layout!$F$10</f>
        <v>9.17886</v>
      </c>
      <c r="M36">
        <f t="shared" si="0"/>
        <v>-9.876802</v>
      </c>
      <c r="O36">
        <f>$A34*P$4-Wing_Layout!$F$11</f>
        <v>13.20612</v>
      </c>
      <c r="P36">
        <f t="shared" si="1"/>
        <v>-7.3309619999999995</v>
      </c>
      <c r="R36">
        <f>$A34*S$4-Wing_Layout!$F$12</f>
        <v>14.84854</v>
      </c>
      <c r="S36">
        <f t="shared" si="2"/>
        <v>-4.52398</v>
      </c>
      <c r="U36">
        <f>$A34*V$4-Wing_Layout!$F$13</f>
        <v>15.569749999999999</v>
      </c>
      <c r="V36">
        <f t="shared" si="3"/>
        <v>-1.5807499999999999</v>
      </c>
      <c r="X36">
        <f>$A34*Y$4-Wing_Layout!$F$14</f>
        <v>16.290960000000002</v>
      </c>
      <c r="Y36">
        <f t="shared" si="4"/>
        <v>1.3624800000000001</v>
      </c>
      <c r="AA36">
        <f>$A34*AB$4-Wing_Layout!$F$15</f>
        <v>17.012169999999998</v>
      </c>
      <c r="AB36">
        <f t="shared" si="5"/>
        <v>4.3057099999999995</v>
      </c>
      <c r="AD36">
        <f>$A34*AE$4-Wing_Layout!$F$16</f>
        <v>17.73338</v>
      </c>
      <c r="AE36">
        <f t="shared" si="6"/>
        <v>7.24894</v>
      </c>
      <c r="AG36">
        <f>$A34*AH$4-Wing_Layout!$F$17</f>
        <v>18.815195</v>
      </c>
      <c r="AH36">
        <f t="shared" si="7"/>
        <v>10.163785</v>
      </c>
      <c r="AJ36">
        <f>$A34*AK$4-Wing_Layout!$F$18</f>
        <v>20.518220000000003</v>
      </c>
      <c r="AK36">
        <f t="shared" si="8"/>
        <v>13.02186</v>
      </c>
    </row>
    <row r="37" spans="1:37" ht="12.75">
      <c r="A37">
        <v>0.03683</v>
      </c>
      <c r="B37">
        <v>0.03831</v>
      </c>
      <c r="I37">
        <f>$A35*J$4-Wing_Layout!$F$9</f>
        <v>3.8706999999999994</v>
      </c>
      <c r="J37">
        <f t="shared" si="9"/>
        <v>-12.40461</v>
      </c>
      <c r="L37">
        <f>$A35*M$4-Wing_Layout!$F$10</f>
        <v>8.63656</v>
      </c>
      <c r="M37">
        <f t="shared" si="0"/>
        <v>-10.096714</v>
      </c>
      <c r="O37">
        <f>$A35*P$4-Wing_Layout!$F$11</f>
        <v>12.75952</v>
      </c>
      <c r="P37">
        <f t="shared" si="1"/>
        <v>-7.5038339999999994</v>
      </c>
      <c r="R37">
        <f>$A35*S$4-Wing_Layout!$F$12</f>
        <v>14.43384</v>
      </c>
      <c r="S37">
        <f t="shared" si="2"/>
        <v>-4.67686</v>
      </c>
      <c r="U37">
        <f>$A35*V$4-Wing_Layout!$F$13</f>
        <v>15.171</v>
      </c>
      <c r="V37">
        <f t="shared" si="3"/>
        <v>-1.7277500000000001</v>
      </c>
      <c r="X37">
        <f>$A35*Y$4-Wing_Layout!$F$14</f>
        <v>15.90816</v>
      </c>
      <c r="Y37">
        <f t="shared" si="4"/>
        <v>1.22136</v>
      </c>
      <c r="AA37">
        <f>$A35*AB$4-Wing_Layout!$F$15</f>
        <v>16.645319999999998</v>
      </c>
      <c r="AB37">
        <f t="shared" si="5"/>
        <v>4.17047</v>
      </c>
      <c r="AD37">
        <f>$A35*AE$4-Wing_Layout!$F$16</f>
        <v>17.38248</v>
      </c>
      <c r="AE37">
        <f t="shared" si="6"/>
        <v>7.11958</v>
      </c>
      <c r="AG37">
        <f>$A35*AH$4-Wing_Layout!$F$17</f>
        <v>18.48822</v>
      </c>
      <c r="AH37">
        <f t="shared" si="7"/>
        <v>10.043245</v>
      </c>
      <c r="AJ37">
        <f>$A35*AK$4-Wing_Layout!$F$18</f>
        <v>20.23112</v>
      </c>
      <c r="AK37">
        <f t="shared" si="8"/>
        <v>12.91602</v>
      </c>
    </row>
    <row r="38" spans="1:37" ht="12.75">
      <c r="A38">
        <v>0.02662</v>
      </c>
      <c r="B38">
        <v>0.03188</v>
      </c>
      <c r="I38">
        <f>$A36*J$4-Wing_Layout!$F$9</f>
        <v>3.2774</v>
      </c>
      <c r="J38">
        <f t="shared" si="9"/>
        <v>-12.7203</v>
      </c>
      <c r="L38">
        <f>$A36*M$4-Wing_Layout!$F$10</f>
        <v>8.16192</v>
      </c>
      <c r="M38">
        <f t="shared" si="0"/>
        <v>-10.32822</v>
      </c>
      <c r="O38">
        <f>$A36*P$4-Wing_Layout!$F$11</f>
        <v>12.36864</v>
      </c>
      <c r="P38">
        <f t="shared" si="1"/>
        <v>-7.68582</v>
      </c>
      <c r="R38">
        <f>$A36*S$4-Wing_Layout!$F$12</f>
        <v>14.07088</v>
      </c>
      <c r="S38">
        <f t="shared" si="2"/>
        <v>-4.8378</v>
      </c>
      <c r="U38">
        <f>$A36*V$4-Wing_Layout!$F$13</f>
        <v>14.822</v>
      </c>
      <c r="V38">
        <f t="shared" si="3"/>
        <v>-1.8825</v>
      </c>
      <c r="X38">
        <f>$A36*Y$4-Wing_Layout!$F$14</f>
        <v>15.57312</v>
      </c>
      <c r="Y38">
        <f t="shared" si="4"/>
        <v>1.0728</v>
      </c>
      <c r="AA38">
        <f>$A36*AB$4-Wing_Layout!$F$15</f>
        <v>16.32424</v>
      </c>
      <c r="AB38">
        <f t="shared" si="5"/>
        <v>4.0281</v>
      </c>
      <c r="AD38">
        <f>$A36*AE$4-Wing_Layout!$F$16</f>
        <v>17.07536</v>
      </c>
      <c r="AE38">
        <f t="shared" si="6"/>
        <v>6.9834</v>
      </c>
      <c r="AG38">
        <f>$A36*AH$4-Wing_Layout!$F$17</f>
        <v>18.20204</v>
      </c>
      <c r="AH38">
        <f t="shared" si="7"/>
        <v>9.91635</v>
      </c>
      <c r="AJ38">
        <f>$A36*AK$4-Wing_Layout!$F$18</f>
        <v>19.979840000000003</v>
      </c>
      <c r="AK38">
        <f t="shared" si="8"/>
        <v>12.8046</v>
      </c>
    </row>
    <row r="39" spans="1:37" ht="12.75">
      <c r="A39">
        <v>0.01818</v>
      </c>
      <c r="B39">
        <v>0.02555</v>
      </c>
      <c r="F39" t="s">
        <v>30</v>
      </c>
      <c r="I39">
        <f>$A37*J$4-Wing_Layout!$F$9</f>
        <v>2.765275</v>
      </c>
      <c r="J39">
        <f aca="true" t="shared" si="10" ref="J39:J70">$B37*J$5*J$4+J$6</f>
        <v>-13.046190000000001</v>
      </c>
      <c r="L39">
        <f>$A37*M$4-Wing_Layout!$F$10</f>
        <v>7.75222</v>
      </c>
      <c r="M39">
        <f aca="true" t="shared" si="11" ref="M39:M70">$B37*M$5*M$4+M$6</f>
        <v>-10.567206</v>
      </c>
      <c r="O39">
        <f>$A37*P$4-Wing_Layout!$F$11</f>
        <v>12.03124</v>
      </c>
      <c r="P39">
        <f aca="true" t="shared" si="12" ref="P39:P70">$B37*P$5*P$4+P$6</f>
        <v>-7.873686</v>
      </c>
      <c r="R39">
        <f>$A37*S$4-Wing_Layout!$F$12</f>
        <v>13.75758</v>
      </c>
      <c r="S39">
        <f aca="true" t="shared" si="13" ref="S39:S70">$B37*S$5*S$4+S$6</f>
        <v>-5.00394</v>
      </c>
      <c r="U39">
        <f>$A37*V$4-Wing_Layout!$F$13</f>
        <v>14.52075</v>
      </c>
      <c r="V39">
        <f aca="true" t="shared" si="14" ref="V39:V70">$B37*V$5*V$4+V$6</f>
        <v>-2.04225</v>
      </c>
      <c r="X39">
        <f>$A37*Y$4-Wing_Layout!$F$14</f>
        <v>15.28392</v>
      </c>
      <c r="Y39">
        <f aca="true" t="shared" si="15" ref="Y39:Y70">$B37*Y$5*Y$4+Y$6</f>
        <v>0.9194399999999999</v>
      </c>
      <c r="AA39">
        <f>$A37*AB$4-Wing_Layout!$F$15</f>
        <v>16.04709</v>
      </c>
      <c r="AB39">
        <f aca="true" t="shared" si="16" ref="AB39:AB70">$B37*AB$5*AB$4+AB$6</f>
        <v>3.8811299999999997</v>
      </c>
      <c r="AD39">
        <f>$A37*AE$4-Wing_Layout!$F$16</f>
        <v>16.81026</v>
      </c>
      <c r="AE39">
        <f aca="true" t="shared" si="17" ref="AE39:AE70">$B37*AE$5*AE$4+AE$6</f>
        <v>6.84282</v>
      </c>
      <c r="AG39">
        <f>$A37*AH$4-Wing_Layout!$F$17</f>
        <v>17.955015</v>
      </c>
      <c r="AH39">
        <f aca="true" t="shared" si="18" ref="AH39:AH70">$B37*AH$5*AH$4+AH$6</f>
        <v>9.785355</v>
      </c>
      <c r="AJ39">
        <f>$A37*AK$4-Wing_Layout!$F$18</f>
        <v>19.76294</v>
      </c>
      <c r="AK39">
        <f aca="true" t="shared" si="19" ref="AK39:AK70">$B37*AK$5*AK$4+AK$6</f>
        <v>12.68958</v>
      </c>
    </row>
    <row r="40" spans="1:37" ht="12.75">
      <c r="A40">
        <v>0.01144</v>
      </c>
      <c r="B40">
        <v>0.01943</v>
      </c>
      <c r="I40">
        <f>$A38*J$4-Wing_Layout!$F$9</f>
        <v>2.33135</v>
      </c>
      <c r="J40">
        <f t="shared" si="10"/>
        <v>-13.37412</v>
      </c>
      <c r="L40">
        <f>$A38*M$4-Wing_Layout!$F$10</f>
        <v>7.40508</v>
      </c>
      <c r="M40">
        <f t="shared" si="11"/>
        <v>-10.807688</v>
      </c>
      <c r="O40">
        <f>$A38*P$4-Wing_Layout!$F$11</f>
        <v>11.74536</v>
      </c>
      <c r="P40">
        <f t="shared" si="12"/>
        <v>-8.062728</v>
      </c>
      <c r="R40">
        <f>$A38*S$4-Wing_Layout!$F$12</f>
        <v>13.49212</v>
      </c>
      <c r="S40">
        <f t="shared" si="13"/>
        <v>-5.17112</v>
      </c>
      <c r="U40">
        <f>$A38*V$4-Wing_Layout!$F$13</f>
        <v>14.2655</v>
      </c>
      <c r="V40">
        <f t="shared" si="14"/>
        <v>-2.2030000000000003</v>
      </c>
      <c r="X40">
        <f>$A38*Y$4-Wing_Layout!$F$14</f>
        <v>15.03888</v>
      </c>
      <c r="Y40">
        <f t="shared" si="15"/>
        <v>0.76512</v>
      </c>
      <c r="AA40">
        <f>$A38*AB$4-Wing_Layout!$F$15</f>
        <v>15.812259999999998</v>
      </c>
      <c r="AB40">
        <f t="shared" si="16"/>
        <v>3.73324</v>
      </c>
      <c r="AD40">
        <f>$A38*AE$4-Wing_Layout!$F$16</f>
        <v>16.58564</v>
      </c>
      <c r="AE40">
        <f t="shared" si="17"/>
        <v>6.70136</v>
      </c>
      <c r="AG40">
        <f>$A38*AH$4-Wing_Layout!$F$17</f>
        <v>17.74571</v>
      </c>
      <c r="AH40">
        <f t="shared" si="18"/>
        <v>9.65354</v>
      </c>
      <c r="AJ40">
        <f>$A38*AK$4-Wing_Layout!$F$18</f>
        <v>19.57916</v>
      </c>
      <c r="AK40">
        <f t="shared" si="19"/>
        <v>12.57384</v>
      </c>
    </row>
    <row r="41" spans="1:37" ht="12.75">
      <c r="A41">
        <v>0.00633</v>
      </c>
      <c r="B41">
        <v>0.01369</v>
      </c>
      <c r="I41">
        <f>$A39*J$4-Wing_Layout!$F$9</f>
        <v>1.97265</v>
      </c>
      <c r="J41">
        <f t="shared" si="10"/>
        <v>-13.69695</v>
      </c>
      <c r="L41">
        <f>$A39*M$4-Wing_Layout!$F$10</f>
        <v>7.11812</v>
      </c>
      <c r="M41">
        <f t="shared" si="11"/>
        <v>-11.04443</v>
      </c>
      <c r="O41">
        <f>$A39*P$4-Wing_Layout!$F$11</f>
        <v>11.50904</v>
      </c>
      <c r="P41">
        <f t="shared" si="12"/>
        <v>-8.24883</v>
      </c>
      <c r="R41">
        <f>$A39*S$4-Wing_Layout!$F$12</f>
        <v>13.272680000000001</v>
      </c>
      <c r="S41">
        <f t="shared" si="13"/>
        <v>-5.3357</v>
      </c>
      <c r="U41">
        <f>$A39*V$4-Wing_Layout!$F$13</f>
        <v>14.054499999999999</v>
      </c>
      <c r="V41">
        <f t="shared" si="14"/>
        <v>-2.36125</v>
      </c>
      <c r="X41">
        <f>$A39*Y$4-Wing_Layout!$F$14</f>
        <v>14.83632</v>
      </c>
      <c r="Y41">
        <f t="shared" si="15"/>
        <v>0.6132</v>
      </c>
      <c r="AA41">
        <f>$A39*AB$4-Wing_Layout!$F$15</f>
        <v>15.618139999999999</v>
      </c>
      <c r="AB41">
        <f t="shared" si="16"/>
        <v>3.58765</v>
      </c>
      <c r="AD41">
        <f>$A39*AE$4-Wing_Layout!$F$16</f>
        <v>16.39996</v>
      </c>
      <c r="AE41">
        <f t="shared" si="17"/>
        <v>6.5621</v>
      </c>
      <c r="AG41">
        <f>$A39*AH$4-Wing_Layout!$F$17</f>
        <v>17.572689999999998</v>
      </c>
      <c r="AH41">
        <f t="shared" si="18"/>
        <v>9.523775</v>
      </c>
      <c r="AJ41">
        <f>$A39*AK$4-Wing_Layout!$F$18</f>
        <v>19.42724</v>
      </c>
      <c r="AK41">
        <f t="shared" si="19"/>
        <v>12.4599</v>
      </c>
    </row>
    <row r="42" spans="1:37" ht="12.75">
      <c r="A42">
        <v>0.00276</v>
      </c>
      <c r="B42">
        <v>0.00844</v>
      </c>
      <c r="I42">
        <f>$A40*J$4-Wing_Layout!$F$9</f>
        <v>1.6862</v>
      </c>
      <c r="J42">
        <f t="shared" si="10"/>
        <v>-14.00907</v>
      </c>
      <c r="L42">
        <f>$A40*M$4-Wing_Layout!$F$10</f>
        <v>6.88896</v>
      </c>
      <c r="M42">
        <f t="shared" si="11"/>
        <v>-11.273318</v>
      </c>
      <c r="O42">
        <f>$A40*P$4-Wing_Layout!$F$11</f>
        <v>11.32032</v>
      </c>
      <c r="P42">
        <f t="shared" si="12"/>
        <v>-8.428758</v>
      </c>
      <c r="R42">
        <f>$A40*S$4-Wing_Layout!$F$12</f>
        <v>13.09744</v>
      </c>
      <c r="S42">
        <f t="shared" si="13"/>
        <v>-5.49482</v>
      </c>
      <c r="U42">
        <f>$A40*V$4-Wing_Layout!$F$13</f>
        <v>13.886</v>
      </c>
      <c r="V42">
        <f t="shared" si="14"/>
        <v>-2.51425</v>
      </c>
      <c r="X42">
        <f>$A40*Y$4-Wing_Layout!$F$14</f>
        <v>14.67456</v>
      </c>
      <c r="Y42">
        <f t="shared" si="15"/>
        <v>0.46631999999999996</v>
      </c>
      <c r="AA42">
        <f>$A40*AB$4-Wing_Layout!$F$15</f>
        <v>15.46312</v>
      </c>
      <c r="AB42">
        <f t="shared" si="16"/>
        <v>3.44689</v>
      </c>
      <c r="AD42">
        <f>$A40*AE$4-Wing_Layout!$F$16</f>
        <v>16.25168</v>
      </c>
      <c r="AE42">
        <f t="shared" si="17"/>
        <v>6.42746</v>
      </c>
      <c r="AG42">
        <f>$A40*AH$4-Wing_Layout!$F$17</f>
        <v>17.43452</v>
      </c>
      <c r="AH42">
        <f t="shared" si="18"/>
        <v>9.398315</v>
      </c>
      <c r="AJ42">
        <f>$A40*AK$4-Wing_Layout!$F$18</f>
        <v>19.30592</v>
      </c>
      <c r="AK42">
        <f t="shared" si="19"/>
        <v>12.34974</v>
      </c>
    </row>
    <row r="43" spans="1:37" ht="12.75">
      <c r="A43">
        <v>0.00068</v>
      </c>
      <c r="B43">
        <v>0.00384</v>
      </c>
      <c r="I43">
        <f>$A41*J$4-Wing_Layout!$F$9</f>
        <v>1.469025</v>
      </c>
      <c r="J43">
        <f t="shared" si="10"/>
        <v>-14.30181</v>
      </c>
      <c r="L43">
        <f>$A41*M$4-Wing_Layout!$F$10</f>
        <v>6.71522</v>
      </c>
      <c r="M43">
        <f t="shared" si="11"/>
        <v>-11.487994</v>
      </c>
      <c r="O43">
        <f>$A41*P$4-Wing_Layout!$F$11</f>
        <v>11.17724</v>
      </c>
      <c r="P43">
        <f t="shared" si="12"/>
        <v>-8.597514</v>
      </c>
      <c r="R43">
        <f>$A41*S$4-Wing_Layout!$F$12</f>
        <v>12.964580000000002</v>
      </c>
      <c r="S43">
        <f t="shared" si="13"/>
        <v>-5.64406</v>
      </c>
      <c r="U43">
        <f>$A41*V$4-Wing_Layout!$F$13</f>
        <v>13.75825</v>
      </c>
      <c r="V43">
        <f t="shared" si="14"/>
        <v>-2.65775</v>
      </c>
      <c r="X43">
        <f>$A41*Y$4-Wing_Layout!$F$14</f>
        <v>14.55192</v>
      </c>
      <c r="Y43">
        <f t="shared" si="15"/>
        <v>0.32856</v>
      </c>
      <c r="AA43">
        <f>$A41*AB$4-Wing_Layout!$F$15</f>
        <v>15.34559</v>
      </c>
      <c r="AB43">
        <f t="shared" si="16"/>
        <v>3.31487</v>
      </c>
      <c r="AD43">
        <f>$A41*AE$4-Wing_Layout!$F$16</f>
        <v>16.13926</v>
      </c>
      <c r="AE43">
        <f t="shared" si="17"/>
        <v>6.3011800000000004</v>
      </c>
      <c r="AG43">
        <f>$A41*AH$4-Wing_Layout!$F$17</f>
        <v>17.329765</v>
      </c>
      <c r="AH43">
        <f t="shared" si="18"/>
        <v>9.280645</v>
      </c>
      <c r="AJ43">
        <f>$A41*AK$4-Wing_Layout!$F$18</f>
        <v>19.21394</v>
      </c>
      <c r="AK43">
        <f t="shared" si="19"/>
        <v>12.24642</v>
      </c>
    </row>
    <row r="44" spans="1:37" ht="12.75">
      <c r="A44">
        <v>0</v>
      </c>
      <c r="B44">
        <v>0</v>
      </c>
      <c r="I44">
        <f>$A42*J$4-Wing_Layout!$F$9</f>
        <v>1.3173</v>
      </c>
      <c r="J44">
        <f t="shared" si="10"/>
        <v>-14.56956</v>
      </c>
      <c r="L44">
        <f>$A42*M$4-Wing_Layout!$F$10</f>
        <v>6.59384</v>
      </c>
      <c r="M44">
        <f t="shared" si="11"/>
        <v>-11.684344</v>
      </c>
      <c r="O44">
        <f>$A42*P$4-Wing_Layout!$F$11</f>
        <v>11.07728</v>
      </c>
      <c r="P44">
        <f t="shared" si="12"/>
        <v>-8.751864</v>
      </c>
      <c r="R44">
        <f>$A42*S$4-Wing_Layout!$F$12</f>
        <v>12.87176</v>
      </c>
      <c r="S44">
        <f t="shared" si="13"/>
        <v>-5.78056</v>
      </c>
      <c r="U44">
        <f>$A42*V$4-Wing_Layout!$F$13</f>
        <v>13.669</v>
      </c>
      <c r="V44">
        <f t="shared" si="14"/>
        <v>-2.789</v>
      </c>
      <c r="X44">
        <f>$A42*Y$4-Wing_Layout!$F$14</f>
        <v>14.46624</v>
      </c>
      <c r="Y44">
        <f t="shared" si="15"/>
        <v>0.20256</v>
      </c>
      <c r="AA44">
        <f>$A42*AB$4-Wing_Layout!$F$15</f>
        <v>15.26348</v>
      </c>
      <c r="AB44">
        <f t="shared" si="16"/>
        <v>3.19412</v>
      </c>
      <c r="AD44">
        <f>$A42*AE$4-Wing_Layout!$F$16</f>
        <v>16.06072</v>
      </c>
      <c r="AE44">
        <f t="shared" si="17"/>
        <v>6.18568</v>
      </c>
      <c r="AG44">
        <f>$A42*AH$4-Wing_Layout!$F$17</f>
        <v>17.25658</v>
      </c>
      <c r="AH44">
        <f t="shared" si="18"/>
        <v>9.17302</v>
      </c>
      <c r="AJ44">
        <f>$A42*AK$4-Wing_Layout!$F$18</f>
        <v>19.14968</v>
      </c>
      <c r="AK44">
        <f t="shared" si="19"/>
        <v>12.15192</v>
      </c>
    </row>
    <row r="45" spans="1:37" ht="12.75">
      <c r="A45">
        <v>0.00029</v>
      </c>
      <c r="B45">
        <v>-0.0027</v>
      </c>
      <c r="I45">
        <f>$A43*J$4-Wing_Layout!$F$9</f>
        <v>1.2288999999999999</v>
      </c>
      <c r="J45">
        <f t="shared" si="10"/>
        <v>-14.80416</v>
      </c>
      <c r="L45">
        <f>$A43*M$4-Wing_Layout!$F$10</f>
        <v>6.52312</v>
      </c>
      <c r="M45">
        <f t="shared" si="11"/>
        <v>-11.856384</v>
      </c>
      <c r="O45">
        <f>$A43*P$4-Wing_Layout!$F$11</f>
        <v>11.01904</v>
      </c>
      <c r="P45">
        <f t="shared" si="12"/>
        <v>-8.887104</v>
      </c>
      <c r="R45">
        <f>$A43*S$4-Wing_Layout!$F$12</f>
        <v>12.817680000000001</v>
      </c>
      <c r="S45">
        <f t="shared" si="13"/>
        <v>-5.90016</v>
      </c>
      <c r="U45">
        <f>$A43*V$4-Wing_Layout!$F$13</f>
        <v>13.616999999999999</v>
      </c>
      <c r="V45">
        <f t="shared" si="14"/>
        <v>-2.904</v>
      </c>
      <c r="X45">
        <f>$A43*Y$4-Wing_Layout!$F$14</f>
        <v>14.41632</v>
      </c>
      <c r="Y45">
        <f t="shared" si="15"/>
        <v>0.09216</v>
      </c>
      <c r="AA45">
        <f>$A43*AB$4-Wing_Layout!$F$15</f>
        <v>15.215639999999999</v>
      </c>
      <c r="AB45">
        <f t="shared" si="16"/>
        <v>3.08832</v>
      </c>
      <c r="AD45">
        <f>$A43*AE$4-Wing_Layout!$F$16</f>
        <v>16.01496</v>
      </c>
      <c r="AE45">
        <f t="shared" si="17"/>
        <v>6.08448</v>
      </c>
      <c r="AG45">
        <f>$A43*AH$4-Wing_Layout!$F$17</f>
        <v>17.21394</v>
      </c>
      <c r="AH45">
        <f t="shared" si="18"/>
        <v>9.07872</v>
      </c>
      <c r="AJ45">
        <f>$A43*AK$4-Wing_Layout!$F$18</f>
        <v>19.11224</v>
      </c>
      <c r="AK45">
        <f t="shared" si="19"/>
        <v>12.06912</v>
      </c>
    </row>
    <row r="46" spans="1:37" ht="12.75">
      <c r="A46">
        <v>0.00129</v>
      </c>
      <c r="B46">
        <v>-0.00526</v>
      </c>
      <c r="I46">
        <f>$A44*J$4-Wing_Layout!$F$9</f>
        <v>1.2</v>
      </c>
      <c r="J46">
        <f t="shared" si="10"/>
        <v>-15</v>
      </c>
      <c r="L46">
        <f>$A44*M$4-Wing_Layout!$F$10</f>
        <v>6.5</v>
      </c>
      <c r="M46">
        <f t="shared" si="11"/>
        <v>-12</v>
      </c>
      <c r="O46">
        <f>$A44*P$4-Wing_Layout!$F$11</f>
        <v>11</v>
      </c>
      <c r="P46">
        <f t="shared" si="12"/>
        <v>-9</v>
      </c>
      <c r="R46">
        <f>$A44*S$4-Wing_Layout!$F$12</f>
        <v>12.8</v>
      </c>
      <c r="S46">
        <f t="shared" si="13"/>
        <v>-6</v>
      </c>
      <c r="U46">
        <f>$A44*V$4-Wing_Layout!$F$13</f>
        <v>13.6</v>
      </c>
      <c r="V46">
        <f t="shared" si="14"/>
        <v>-3</v>
      </c>
      <c r="X46">
        <f>$A44*Y$4-Wing_Layout!$F$14</f>
        <v>14.4</v>
      </c>
      <c r="Y46">
        <f t="shared" si="15"/>
        <v>0</v>
      </c>
      <c r="AA46">
        <f>$A44*AB$4-Wing_Layout!$F$15</f>
        <v>15.2</v>
      </c>
      <c r="AB46">
        <f t="shared" si="16"/>
        <v>3</v>
      </c>
      <c r="AD46">
        <f>$A44*AE$4-Wing_Layout!$F$16</f>
        <v>16</v>
      </c>
      <c r="AE46">
        <f t="shared" si="17"/>
        <v>6</v>
      </c>
      <c r="AG46">
        <f>$A44*AH$4-Wing_Layout!$F$17</f>
        <v>17.2</v>
      </c>
      <c r="AH46">
        <f t="shared" si="18"/>
        <v>9</v>
      </c>
      <c r="AJ46">
        <f>$A44*AK$4-Wing_Layout!$F$18</f>
        <v>19.1</v>
      </c>
      <c r="AK46">
        <f t="shared" si="19"/>
        <v>12</v>
      </c>
    </row>
    <row r="47" spans="1:37" ht="12.75">
      <c r="A47">
        <v>0.00319</v>
      </c>
      <c r="B47">
        <v>-0.00769</v>
      </c>
      <c r="I47">
        <f>$A45*J$4-Wing_Layout!$F$9</f>
        <v>1.2123249999999999</v>
      </c>
      <c r="J47">
        <f t="shared" si="10"/>
        <v>-15.1377</v>
      </c>
      <c r="L47">
        <f>$A45*M$4-Wing_Layout!$F$10</f>
        <v>6.50986</v>
      </c>
      <c r="M47">
        <f t="shared" si="11"/>
        <v>-12.10098</v>
      </c>
      <c r="O47">
        <f>$A45*P$4-Wing_Layout!$F$11</f>
        <v>11.00812</v>
      </c>
      <c r="P47">
        <f t="shared" si="12"/>
        <v>-9.07938</v>
      </c>
      <c r="R47">
        <f>$A45*S$4-Wing_Layout!$F$12</f>
        <v>12.807540000000001</v>
      </c>
      <c r="S47">
        <f t="shared" si="13"/>
        <v>-6.0702</v>
      </c>
      <c r="U47">
        <f>$A45*V$4-Wing_Layout!$F$13</f>
        <v>13.60725</v>
      </c>
      <c r="V47">
        <f t="shared" si="14"/>
        <v>-3.0675</v>
      </c>
      <c r="X47">
        <f>$A45*Y$4-Wing_Layout!$F$14</f>
        <v>14.40696</v>
      </c>
      <c r="Y47">
        <f t="shared" si="15"/>
        <v>-0.0648</v>
      </c>
      <c r="AA47">
        <f>$A45*AB$4-Wing_Layout!$F$15</f>
        <v>15.206669999999999</v>
      </c>
      <c r="AB47">
        <f t="shared" si="16"/>
        <v>2.9379</v>
      </c>
      <c r="AD47">
        <f>$A45*AE$4-Wing_Layout!$F$16</f>
        <v>16.00638</v>
      </c>
      <c r="AE47">
        <f t="shared" si="17"/>
        <v>5.9406</v>
      </c>
      <c r="AG47">
        <f>$A45*AH$4-Wing_Layout!$F$17</f>
        <v>17.205945</v>
      </c>
      <c r="AH47">
        <f t="shared" si="18"/>
        <v>8.94465</v>
      </c>
      <c r="AJ47">
        <f>$A45*AK$4-Wing_Layout!$F$18</f>
        <v>19.105220000000003</v>
      </c>
      <c r="AK47">
        <f t="shared" si="19"/>
        <v>11.9514</v>
      </c>
    </row>
    <row r="48" spans="1:37" ht="12.75">
      <c r="A48">
        <v>0.00622</v>
      </c>
      <c r="B48">
        <v>-0.01</v>
      </c>
      <c r="I48">
        <f>$A46*J$4-Wing_Layout!$F$9</f>
        <v>1.2548249999999999</v>
      </c>
      <c r="J48">
        <f t="shared" si="10"/>
        <v>-15.26826</v>
      </c>
      <c r="L48">
        <f>$A46*M$4-Wing_Layout!$F$10</f>
        <v>6.54386</v>
      </c>
      <c r="M48">
        <f t="shared" si="11"/>
        <v>-12.196724</v>
      </c>
      <c r="O48">
        <f>$A46*P$4-Wing_Layout!$F$11</f>
        <v>11.03612</v>
      </c>
      <c r="P48">
        <f t="shared" si="12"/>
        <v>-9.154644</v>
      </c>
      <c r="R48">
        <f>$A46*S$4-Wing_Layout!$F$12</f>
        <v>12.833540000000001</v>
      </c>
      <c r="S48">
        <f t="shared" si="13"/>
        <v>-6.13676</v>
      </c>
      <c r="U48">
        <f>$A46*V$4-Wing_Layout!$F$13</f>
        <v>13.632249999999999</v>
      </c>
      <c r="V48">
        <f t="shared" si="14"/>
        <v>-3.1315</v>
      </c>
      <c r="X48">
        <f>$A46*Y$4-Wing_Layout!$F$14</f>
        <v>14.43096</v>
      </c>
      <c r="Y48">
        <f t="shared" si="15"/>
        <v>-0.12624</v>
      </c>
      <c r="AA48">
        <f>$A46*AB$4-Wing_Layout!$F$15</f>
        <v>15.229669999999999</v>
      </c>
      <c r="AB48">
        <f t="shared" si="16"/>
        <v>2.87902</v>
      </c>
      <c r="AD48">
        <f>$A46*AE$4-Wing_Layout!$F$16</f>
        <v>16.02838</v>
      </c>
      <c r="AE48">
        <f t="shared" si="17"/>
        <v>5.88428</v>
      </c>
      <c r="AG48">
        <f>$A46*AH$4-Wing_Layout!$F$17</f>
        <v>17.226445</v>
      </c>
      <c r="AH48">
        <f t="shared" si="18"/>
        <v>8.89217</v>
      </c>
      <c r="AJ48">
        <f>$A46*AK$4-Wing_Layout!$F$18</f>
        <v>19.12322</v>
      </c>
      <c r="AK48">
        <f t="shared" si="19"/>
        <v>11.90532</v>
      </c>
    </row>
    <row r="49" spans="1:37" ht="12.75">
      <c r="A49">
        <v>0.01056</v>
      </c>
      <c r="B49">
        <v>-0.01219</v>
      </c>
      <c r="I49">
        <f>$A47*J$4-Wing_Layout!$F$9</f>
        <v>1.335575</v>
      </c>
      <c r="J49">
        <f t="shared" si="10"/>
        <v>-15.39219</v>
      </c>
      <c r="L49">
        <f>$A47*M$4-Wing_Layout!$F$10</f>
        <v>6.60846</v>
      </c>
      <c r="M49">
        <f t="shared" si="11"/>
        <v>-12.287606</v>
      </c>
      <c r="O49">
        <f>$A47*P$4-Wing_Layout!$F$11</f>
        <v>11.08932</v>
      </c>
      <c r="P49">
        <f t="shared" si="12"/>
        <v>-9.226086</v>
      </c>
      <c r="R49">
        <f>$A47*S$4-Wing_Layout!$F$12</f>
        <v>12.882940000000001</v>
      </c>
      <c r="S49">
        <f t="shared" si="13"/>
        <v>-6.19994</v>
      </c>
      <c r="U49">
        <f>$A47*V$4-Wing_Layout!$F$13</f>
        <v>13.67975</v>
      </c>
      <c r="V49">
        <f t="shared" si="14"/>
        <v>-3.19225</v>
      </c>
      <c r="X49">
        <f>$A47*Y$4-Wing_Layout!$F$14</f>
        <v>14.476560000000001</v>
      </c>
      <c r="Y49">
        <f t="shared" si="15"/>
        <v>-0.18456</v>
      </c>
      <c r="AA49">
        <f>$A47*AB$4-Wing_Layout!$F$15</f>
        <v>15.27337</v>
      </c>
      <c r="AB49">
        <f t="shared" si="16"/>
        <v>2.82313</v>
      </c>
      <c r="AD49">
        <f>$A47*AE$4-Wing_Layout!$F$16</f>
        <v>16.07018</v>
      </c>
      <c r="AE49">
        <f t="shared" si="17"/>
        <v>5.83082</v>
      </c>
      <c r="AG49">
        <f>$A47*AH$4-Wing_Layout!$F$17</f>
        <v>17.265394999999998</v>
      </c>
      <c r="AH49">
        <f t="shared" si="18"/>
        <v>8.842355</v>
      </c>
      <c r="AJ49">
        <f>$A47*AK$4-Wing_Layout!$F$18</f>
        <v>19.157420000000002</v>
      </c>
      <c r="AK49">
        <f t="shared" si="19"/>
        <v>11.86158</v>
      </c>
    </row>
    <row r="50" spans="1:37" ht="12.75">
      <c r="A50">
        <v>0.01641</v>
      </c>
      <c r="B50">
        <v>-0.01429</v>
      </c>
      <c r="I50">
        <f>$A48*J$4-Wing_Layout!$F$9</f>
        <v>1.46435</v>
      </c>
      <c r="J50">
        <f t="shared" si="10"/>
        <v>-15.51</v>
      </c>
      <c r="L50">
        <f>$A48*M$4-Wing_Layout!$F$10</f>
        <v>6.71148</v>
      </c>
      <c r="M50">
        <f t="shared" si="11"/>
        <v>-12.374</v>
      </c>
      <c r="O50">
        <f>$A48*P$4-Wing_Layout!$F$11</f>
        <v>11.17416</v>
      </c>
      <c r="P50">
        <f t="shared" si="12"/>
        <v>-9.294</v>
      </c>
      <c r="R50">
        <f>$A48*S$4-Wing_Layout!$F$12</f>
        <v>12.961720000000001</v>
      </c>
      <c r="S50">
        <f t="shared" si="13"/>
        <v>-6.26</v>
      </c>
      <c r="U50">
        <f>$A48*V$4-Wing_Layout!$F$13</f>
        <v>13.7555</v>
      </c>
      <c r="V50">
        <f t="shared" si="14"/>
        <v>-3.25</v>
      </c>
      <c r="X50">
        <f>$A48*Y$4-Wing_Layout!$F$14</f>
        <v>14.54928</v>
      </c>
      <c r="Y50">
        <f t="shared" si="15"/>
        <v>-0.24</v>
      </c>
      <c r="AA50">
        <f>$A48*AB$4-Wing_Layout!$F$15</f>
        <v>15.34306</v>
      </c>
      <c r="AB50">
        <f t="shared" si="16"/>
        <v>2.77</v>
      </c>
      <c r="AD50">
        <f>$A48*AE$4-Wing_Layout!$F$16</f>
        <v>16.13684</v>
      </c>
      <c r="AE50">
        <f t="shared" si="17"/>
        <v>5.78</v>
      </c>
      <c r="AG50">
        <f>$A48*AH$4-Wing_Layout!$F$17</f>
        <v>17.32751</v>
      </c>
      <c r="AH50">
        <f t="shared" si="18"/>
        <v>8.795</v>
      </c>
      <c r="AJ50">
        <f>$A48*AK$4-Wing_Layout!$F$18</f>
        <v>19.21196</v>
      </c>
      <c r="AK50">
        <f t="shared" si="19"/>
        <v>11.82</v>
      </c>
    </row>
    <row r="51" spans="1:37" ht="12.75">
      <c r="A51">
        <v>0.02399</v>
      </c>
      <c r="B51">
        <v>-0.0163</v>
      </c>
      <c r="I51">
        <f>$A49*J$4-Wing_Layout!$F$9</f>
        <v>1.6488</v>
      </c>
      <c r="J51">
        <f t="shared" si="10"/>
        <v>-15.62169</v>
      </c>
      <c r="L51">
        <f>$A49*M$4-Wing_Layout!$F$10</f>
        <v>6.85904</v>
      </c>
      <c r="M51">
        <f t="shared" si="11"/>
        <v>-12.455906</v>
      </c>
      <c r="O51">
        <f>$A49*P$4-Wing_Layout!$F$11</f>
        <v>11.29568</v>
      </c>
      <c r="P51">
        <f t="shared" si="12"/>
        <v>-9.358386</v>
      </c>
      <c r="R51">
        <f>$A49*S$4-Wing_Layout!$F$12</f>
        <v>13.07456</v>
      </c>
      <c r="S51">
        <f t="shared" si="13"/>
        <v>-6.31694</v>
      </c>
      <c r="U51">
        <f>$A49*V$4-Wing_Layout!$F$13</f>
        <v>13.863999999999999</v>
      </c>
      <c r="V51">
        <f t="shared" si="14"/>
        <v>-3.30475</v>
      </c>
      <c r="X51">
        <f>$A49*Y$4-Wing_Layout!$F$14</f>
        <v>14.65344</v>
      </c>
      <c r="Y51">
        <f t="shared" si="15"/>
        <v>-0.29256</v>
      </c>
      <c r="AA51">
        <f>$A49*AB$4-Wing_Layout!$F$15</f>
        <v>15.442879999999999</v>
      </c>
      <c r="AB51">
        <f t="shared" si="16"/>
        <v>2.71963</v>
      </c>
      <c r="AD51">
        <f>$A49*AE$4-Wing_Layout!$F$16</f>
        <v>16.23232</v>
      </c>
      <c r="AE51">
        <f t="shared" si="17"/>
        <v>5.73182</v>
      </c>
      <c r="AG51">
        <f>$A49*AH$4-Wing_Layout!$F$17</f>
        <v>17.41648</v>
      </c>
      <c r="AH51">
        <f t="shared" si="18"/>
        <v>8.750105</v>
      </c>
      <c r="AJ51">
        <f>$A49*AK$4-Wing_Layout!$F$18</f>
        <v>19.29008</v>
      </c>
      <c r="AK51">
        <f t="shared" si="19"/>
        <v>11.78058</v>
      </c>
    </row>
    <row r="52" spans="1:37" ht="12.75">
      <c r="A52">
        <v>0.03348</v>
      </c>
      <c r="B52">
        <v>-0.01822</v>
      </c>
      <c r="I52">
        <f>$A50*J$4-Wing_Layout!$F$9</f>
        <v>1.8974250000000001</v>
      </c>
      <c r="J52">
        <f t="shared" si="10"/>
        <v>-15.72879</v>
      </c>
      <c r="L52">
        <f>$A50*M$4-Wing_Layout!$F$10</f>
        <v>7.05794</v>
      </c>
      <c r="M52">
        <f t="shared" si="11"/>
        <v>-12.534445999999999</v>
      </c>
      <c r="O52">
        <f>$A50*P$4-Wing_Layout!$F$11</f>
        <v>11.45948</v>
      </c>
      <c r="P52">
        <f t="shared" si="12"/>
        <v>-9.420126</v>
      </c>
      <c r="R52">
        <f>$A50*S$4-Wing_Layout!$F$12</f>
        <v>13.22666</v>
      </c>
      <c r="S52">
        <f t="shared" si="13"/>
        <v>-6.37154</v>
      </c>
      <c r="U52">
        <f>$A50*V$4-Wing_Layout!$F$13</f>
        <v>14.01025</v>
      </c>
      <c r="V52">
        <f t="shared" si="14"/>
        <v>-3.35725</v>
      </c>
      <c r="X52">
        <f>$A50*Y$4-Wing_Layout!$F$14</f>
        <v>14.793840000000001</v>
      </c>
      <c r="Y52">
        <f t="shared" si="15"/>
        <v>-0.34296000000000004</v>
      </c>
      <c r="AA52">
        <f>$A50*AB$4-Wing_Layout!$F$15</f>
        <v>15.57743</v>
      </c>
      <c r="AB52">
        <f t="shared" si="16"/>
        <v>2.67133</v>
      </c>
      <c r="AD52">
        <f>$A50*AE$4-Wing_Layout!$F$16</f>
        <v>16.36102</v>
      </c>
      <c r="AE52">
        <f t="shared" si="17"/>
        <v>5.68562</v>
      </c>
      <c r="AG52">
        <f>$A50*AH$4-Wing_Layout!$F$17</f>
        <v>17.536405</v>
      </c>
      <c r="AH52">
        <f t="shared" si="18"/>
        <v>8.707055</v>
      </c>
      <c r="AJ52">
        <f>$A50*AK$4-Wing_Layout!$F$18</f>
        <v>19.395380000000003</v>
      </c>
      <c r="AK52">
        <f t="shared" si="19"/>
        <v>11.74278</v>
      </c>
    </row>
    <row r="53" spans="1:37" ht="12.75">
      <c r="A53">
        <v>0.0451</v>
      </c>
      <c r="B53">
        <v>-0.02007</v>
      </c>
      <c r="I53">
        <f>$A51*J$4-Wing_Layout!$F$9</f>
        <v>2.219575</v>
      </c>
      <c r="J53">
        <f t="shared" si="10"/>
        <v>-15.8313</v>
      </c>
      <c r="L53">
        <f>$A51*M$4-Wing_Layout!$F$10</f>
        <v>7.31566</v>
      </c>
      <c r="M53">
        <f t="shared" si="11"/>
        <v>-12.60962</v>
      </c>
      <c r="O53">
        <f>$A51*P$4-Wing_Layout!$F$11</f>
        <v>11.67172</v>
      </c>
      <c r="P53">
        <f t="shared" si="12"/>
        <v>-9.47922</v>
      </c>
      <c r="R53">
        <f>$A51*S$4-Wing_Layout!$F$12</f>
        <v>13.42374</v>
      </c>
      <c r="S53">
        <f t="shared" si="13"/>
        <v>-6.4238</v>
      </c>
      <c r="U53">
        <f>$A51*V$4-Wing_Layout!$F$13</f>
        <v>14.19975</v>
      </c>
      <c r="V53">
        <f t="shared" si="14"/>
        <v>-3.4074999999999998</v>
      </c>
      <c r="X53">
        <f>$A51*Y$4-Wing_Layout!$F$14</f>
        <v>14.975760000000001</v>
      </c>
      <c r="Y53">
        <f t="shared" si="15"/>
        <v>-0.3912</v>
      </c>
      <c r="AA53">
        <f>$A51*AB$4-Wing_Layout!$F$15</f>
        <v>15.751769999999999</v>
      </c>
      <c r="AB53">
        <f t="shared" si="16"/>
        <v>2.6251</v>
      </c>
      <c r="AD53">
        <f>$A51*AE$4-Wing_Layout!$F$16</f>
        <v>16.52778</v>
      </c>
      <c r="AE53">
        <f t="shared" si="17"/>
        <v>5.6414</v>
      </c>
      <c r="AG53">
        <f>$A51*AH$4-Wing_Layout!$F$17</f>
        <v>17.691795</v>
      </c>
      <c r="AH53">
        <f t="shared" si="18"/>
        <v>8.66585</v>
      </c>
      <c r="AJ53">
        <f>$A51*AK$4-Wing_Layout!$F$18</f>
        <v>19.53182</v>
      </c>
      <c r="AK53">
        <f t="shared" si="19"/>
        <v>11.7066</v>
      </c>
    </row>
    <row r="54" spans="1:37" ht="12.75">
      <c r="A54">
        <v>0.05905</v>
      </c>
      <c r="B54">
        <v>-0.02186</v>
      </c>
      <c r="I54">
        <f>$A52*J$4-Wing_Layout!$F$9</f>
        <v>2.6229</v>
      </c>
      <c r="J54">
        <f t="shared" si="10"/>
        <v>-15.92922</v>
      </c>
      <c r="L54">
        <f>$A52*M$4-Wing_Layout!$F$10</f>
        <v>7.63832</v>
      </c>
      <c r="M54">
        <f t="shared" si="11"/>
        <v>-12.681428</v>
      </c>
      <c r="O54">
        <f>$A52*P$4-Wing_Layout!$F$11</f>
        <v>11.93744</v>
      </c>
      <c r="P54">
        <f t="shared" si="12"/>
        <v>-9.535668</v>
      </c>
      <c r="R54">
        <f>$A52*S$4-Wing_Layout!$F$12</f>
        <v>13.670480000000001</v>
      </c>
      <c r="S54">
        <f t="shared" si="13"/>
        <v>-6.47372</v>
      </c>
      <c r="U54">
        <f>$A52*V$4-Wing_Layout!$F$13</f>
        <v>14.437</v>
      </c>
      <c r="V54">
        <f t="shared" si="14"/>
        <v>-3.4555</v>
      </c>
      <c r="X54">
        <f>$A52*Y$4-Wing_Layout!$F$14</f>
        <v>15.203520000000001</v>
      </c>
      <c r="Y54">
        <f t="shared" si="15"/>
        <v>-0.43728</v>
      </c>
      <c r="AA54">
        <f>$A52*AB$4-Wing_Layout!$F$15</f>
        <v>15.97004</v>
      </c>
      <c r="AB54">
        <f t="shared" si="16"/>
        <v>2.58094</v>
      </c>
      <c r="AD54">
        <f>$A52*AE$4-Wing_Layout!$F$16</f>
        <v>16.73656</v>
      </c>
      <c r="AE54">
        <f t="shared" si="17"/>
        <v>5.59916</v>
      </c>
      <c r="AG54">
        <f>$A52*AH$4-Wing_Layout!$F$17</f>
        <v>17.88634</v>
      </c>
      <c r="AH54">
        <f t="shared" si="18"/>
        <v>8.62649</v>
      </c>
      <c r="AJ54">
        <f>$A52*AK$4-Wing_Layout!$F$18</f>
        <v>19.702640000000002</v>
      </c>
      <c r="AK54">
        <f t="shared" si="19"/>
        <v>11.672039999999999</v>
      </c>
    </row>
    <row r="55" spans="1:37" ht="12.75">
      <c r="A55">
        <v>0.07539</v>
      </c>
      <c r="B55">
        <v>-0.02359</v>
      </c>
      <c r="I55">
        <f>$A53*J$4-Wing_Layout!$F$9</f>
        <v>3.1167499999999997</v>
      </c>
      <c r="J55">
        <f t="shared" si="10"/>
        <v>-16.02357</v>
      </c>
      <c r="L55">
        <f>$A53*M$4-Wing_Layout!$F$10</f>
        <v>8.0334</v>
      </c>
      <c r="M55">
        <f t="shared" si="11"/>
        <v>-12.750618</v>
      </c>
      <c r="O55">
        <f>$A53*P$4-Wing_Layout!$F$11</f>
        <v>12.2628</v>
      </c>
      <c r="P55">
        <f t="shared" si="12"/>
        <v>-9.590058</v>
      </c>
      <c r="R55">
        <f>$A53*S$4-Wing_Layout!$F$12</f>
        <v>13.9726</v>
      </c>
      <c r="S55">
        <f t="shared" si="13"/>
        <v>-6.52182</v>
      </c>
      <c r="U55">
        <f>$A53*V$4-Wing_Layout!$F$13</f>
        <v>14.7275</v>
      </c>
      <c r="V55">
        <f t="shared" si="14"/>
        <v>-3.50175</v>
      </c>
      <c r="X55">
        <f>$A53*Y$4-Wing_Layout!$F$14</f>
        <v>15.4824</v>
      </c>
      <c r="Y55">
        <f t="shared" si="15"/>
        <v>-0.48168</v>
      </c>
      <c r="AA55">
        <f>$A53*AB$4-Wing_Layout!$F$15</f>
        <v>16.237299999999998</v>
      </c>
      <c r="AB55">
        <f t="shared" si="16"/>
        <v>2.53839</v>
      </c>
      <c r="AD55">
        <f>$A53*AE$4-Wing_Layout!$F$16</f>
        <v>16.9922</v>
      </c>
      <c r="AE55">
        <f t="shared" si="17"/>
        <v>5.55846</v>
      </c>
      <c r="AG55">
        <f>$A53*AH$4-Wing_Layout!$F$17</f>
        <v>18.12455</v>
      </c>
      <c r="AH55">
        <f t="shared" si="18"/>
        <v>8.588565</v>
      </c>
      <c r="AJ55">
        <f>$A53*AK$4-Wing_Layout!$F$18</f>
        <v>19.911800000000003</v>
      </c>
      <c r="AK55">
        <f t="shared" si="19"/>
        <v>11.63874</v>
      </c>
    </row>
    <row r="56" spans="1:37" ht="12.75">
      <c r="A56">
        <v>0.09399</v>
      </c>
      <c r="B56">
        <v>-0.02525</v>
      </c>
      <c r="I56">
        <f>$A54*J$4-Wing_Layout!$F$9</f>
        <v>3.709625</v>
      </c>
      <c r="J56">
        <f t="shared" si="10"/>
        <v>-16.11486</v>
      </c>
      <c r="L56">
        <f>$A54*M$4-Wing_Layout!$F$10</f>
        <v>8.5077</v>
      </c>
      <c r="M56">
        <f t="shared" si="11"/>
        <v>-12.817564</v>
      </c>
      <c r="O56">
        <f>$A54*P$4-Wing_Layout!$F$11</f>
        <v>12.6534</v>
      </c>
      <c r="P56">
        <f t="shared" si="12"/>
        <v>-9.642684</v>
      </c>
      <c r="R56">
        <f>$A54*S$4-Wing_Layout!$F$12</f>
        <v>14.3353</v>
      </c>
      <c r="S56">
        <f t="shared" si="13"/>
        <v>-6.56836</v>
      </c>
      <c r="U56">
        <f>$A54*V$4-Wing_Layout!$F$13</f>
        <v>15.07625</v>
      </c>
      <c r="V56">
        <f t="shared" si="14"/>
        <v>-3.5465</v>
      </c>
      <c r="X56">
        <f>$A54*Y$4-Wing_Layout!$F$14</f>
        <v>15.8172</v>
      </c>
      <c r="Y56">
        <f t="shared" si="15"/>
        <v>-0.52464</v>
      </c>
      <c r="AA56">
        <f>$A54*AB$4-Wing_Layout!$F$15</f>
        <v>16.558149999999998</v>
      </c>
      <c r="AB56">
        <f t="shared" si="16"/>
        <v>2.49722</v>
      </c>
      <c r="AD56">
        <f>$A54*AE$4-Wing_Layout!$F$16</f>
        <v>17.2991</v>
      </c>
      <c r="AE56">
        <f t="shared" si="17"/>
        <v>5.51908</v>
      </c>
      <c r="AG56">
        <f>$A54*AH$4-Wing_Layout!$F$17</f>
        <v>18.410525</v>
      </c>
      <c r="AH56">
        <f t="shared" si="18"/>
        <v>8.55187</v>
      </c>
      <c r="AJ56">
        <f>$A54*AK$4-Wing_Layout!$F$18</f>
        <v>20.1629</v>
      </c>
      <c r="AK56">
        <f t="shared" si="19"/>
        <v>11.60652</v>
      </c>
    </row>
    <row r="57" spans="1:37" ht="12.75">
      <c r="A57">
        <v>0.11465</v>
      </c>
      <c r="B57">
        <v>-0.02684</v>
      </c>
      <c r="I57">
        <f>$A55*J$4-Wing_Layout!$F$9</f>
        <v>4.404075</v>
      </c>
      <c r="J57">
        <f t="shared" si="10"/>
        <v>-16.20309</v>
      </c>
      <c r="L57">
        <f>$A55*M$4-Wing_Layout!$F$10</f>
        <v>9.06326</v>
      </c>
      <c r="M57">
        <f t="shared" si="11"/>
        <v>-12.882266</v>
      </c>
      <c r="O57">
        <f>$A55*P$4-Wing_Layout!$F$11</f>
        <v>13.11092</v>
      </c>
      <c r="P57">
        <f t="shared" si="12"/>
        <v>-9.693546</v>
      </c>
      <c r="R57">
        <f>$A55*S$4-Wing_Layout!$F$12</f>
        <v>14.76014</v>
      </c>
      <c r="S57">
        <f t="shared" si="13"/>
        <v>-6.61334</v>
      </c>
      <c r="U57">
        <f>$A55*V$4-Wing_Layout!$F$13</f>
        <v>15.48475</v>
      </c>
      <c r="V57">
        <f t="shared" si="14"/>
        <v>-3.58975</v>
      </c>
      <c r="X57">
        <f>$A55*Y$4-Wing_Layout!$F$14</f>
        <v>16.20936</v>
      </c>
      <c r="Y57">
        <f t="shared" si="15"/>
        <v>-0.56616</v>
      </c>
      <c r="AA57">
        <f>$A55*AB$4-Wing_Layout!$F$15</f>
        <v>16.93397</v>
      </c>
      <c r="AB57">
        <f t="shared" si="16"/>
        <v>2.45743</v>
      </c>
      <c r="AD57">
        <f>$A55*AE$4-Wing_Layout!$F$16</f>
        <v>17.65858</v>
      </c>
      <c r="AE57">
        <f t="shared" si="17"/>
        <v>5.48102</v>
      </c>
      <c r="AG57">
        <f>$A55*AH$4-Wing_Layout!$F$17</f>
        <v>18.745495</v>
      </c>
      <c r="AH57">
        <f t="shared" si="18"/>
        <v>8.516405</v>
      </c>
      <c r="AJ57">
        <f>$A55*AK$4-Wing_Layout!$F$18</f>
        <v>20.45702</v>
      </c>
      <c r="AK57">
        <f t="shared" si="19"/>
        <v>11.57538</v>
      </c>
    </row>
    <row r="58" spans="1:37" ht="12.75">
      <c r="A58">
        <v>0.1372</v>
      </c>
      <c r="B58">
        <v>-0.02834</v>
      </c>
      <c r="I58">
        <f>$A56*J$4-Wing_Layout!$F$9</f>
        <v>5.194575</v>
      </c>
      <c r="J58">
        <f t="shared" si="10"/>
        <v>-16.28775</v>
      </c>
      <c r="L58">
        <f>$A56*M$4-Wing_Layout!$F$10</f>
        <v>9.69566</v>
      </c>
      <c r="M58">
        <f t="shared" si="11"/>
        <v>-12.94435</v>
      </c>
      <c r="O58">
        <f>$A56*P$4-Wing_Layout!$F$11</f>
        <v>13.63172</v>
      </c>
      <c r="P58">
        <f t="shared" si="12"/>
        <v>-9.74235</v>
      </c>
      <c r="R58">
        <f>$A56*S$4-Wing_Layout!$F$12</f>
        <v>15.24374</v>
      </c>
      <c r="S58">
        <f t="shared" si="13"/>
        <v>-6.6565</v>
      </c>
      <c r="U58">
        <f>$A56*V$4-Wing_Layout!$F$13</f>
        <v>15.94975</v>
      </c>
      <c r="V58">
        <f t="shared" si="14"/>
        <v>-3.63125</v>
      </c>
      <c r="X58">
        <f>$A56*Y$4-Wing_Layout!$F$14</f>
        <v>16.65576</v>
      </c>
      <c r="Y58">
        <f t="shared" si="15"/>
        <v>-0.6060000000000001</v>
      </c>
      <c r="AA58">
        <f>$A56*AB$4-Wing_Layout!$F$15</f>
        <v>17.36177</v>
      </c>
      <c r="AB58">
        <f t="shared" si="16"/>
        <v>2.41925</v>
      </c>
      <c r="AD58">
        <f>$A56*AE$4-Wing_Layout!$F$16</f>
        <v>18.06778</v>
      </c>
      <c r="AE58">
        <f t="shared" si="17"/>
        <v>5.4445</v>
      </c>
      <c r="AG58">
        <f>$A56*AH$4-Wing_Layout!$F$17</f>
        <v>19.126794999999998</v>
      </c>
      <c r="AH58">
        <f t="shared" si="18"/>
        <v>8.482375</v>
      </c>
      <c r="AJ58">
        <f>$A56*AK$4-Wing_Layout!$F$18</f>
        <v>20.79182</v>
      </c>
      <c r="AK58">
        <f t="shared" si="19"/>
        <v>11.5455</v>
      </c>
    </row>
    <row r="59" spans="1:37" ht="12.75">
      <c r="A59">
        <v>0.16144</v>
      </c>
      <c r="B59">
        <v>-0.02974</v>
      </c>
      <c r="I59">
        <f>$A57*J$4-Wing_Layout!$F$9</f>
        <v>6.072625</v>
      </c>
      <c r="J59">
        <f t="shared" si="10"/>
        <v>-16.36884</v>
      </c>
      <c r="L59">
        <f>$A57*M$4-Wing_Layout!$F$10</f>
        <v>10.3981</v>
      </c>
      <c r="M59">
        <f t="shared" si="11"/>
        <v>-13.003816</v>
      </c>
      <c r="O59">
        <f>$A57*P$4-Wing_Layout!$F$11</f>
        <v>14.2102</v>
      </c>
      <c r="P59">
        <f t="shared" si="12"/>
        <v>-9.789096</v>
      </c>
      <c r="R59">
        <f>$A57*S$4-Wing_Layout!$F$12</f>
        <v>15.7809</v>
      </c>
      <c r="S59">
        <f t="shared" si="13"/>
        <v>-6.69784</v>
      </c>
      <c r="U59">
        <f>$A57*V$4-Wing_Layout!$F$13</f>
        <v>16.46625</v>
      </c>
      <c r="V59">
        <f t="shared" si="14"/>
        <v>-3.671</v>
      </c>
      <c r="X59">
        <f>$A57*Y$4-Wing_Layout!$F$14</f>
        <v>17.151600000000002</v>
      </c>
      <c r="Y59">
        <f t="shared" si="15"/>
        <v>-0.64416</v>
      </c>
      <c r="AA59">
        <f>$A57*AB$4-Wing_Layout!$F$15</f>
        <v>17.836949999999998</v>
      </c>
      <c r="AB59">
        <f t="shared" si="16"/>
        <v>2.38268</v>
      </c>
      <c r="AD59">
        <f>$A57*AE$4-Wing_Layout!$F$16</f>
        <v>18.5223</v>
      </c>
      <c r="AE59">
        <f t="shared" si="17"/>
        <v>5.40952</v>
      </c>
      <c r="AG59">
        <f>$A57*AH$4-Wing_Layout!$F$17</f>
        <v>19.550325</v>
      </c>
      <c r="AH59">
        <f t="shared" si="18"/>
        <v>8.44978</v>
      </c>
      <c r="AJ59">
        <f>$A57*AK$4-Wing_Layout!$F$18</f>
        <v>21.163700000000002</v>
      </c>
      <c r="AK59">
        <f t="shared" si="19"/>
        <v>11.51688</v>
      </c>
    </row>
    <row r="60" spans="1:37" ht="12.75">
      <c r="A60">
        <v>0.18721</v>
      </c>
      <c r="B60">
        <v>-0.03104</v>
      </c>
      <c r="I60">
        <f>$A58*J$4-Wing_Layout!$F$9</f>
        <v>7.031</v>
      </c>
      <c r="J60">
        <f t="shared" si="10"/>
        <v>-16.44534</v>
      </c>
      <c r="L60">
        <f>$A58*M$4-Wing_Layout!$F$10</f>
        <v>11.1648</v>
      </c>
      <c r="M60">
        <f t="shared" si="11"/>
        <v>-13.059916</v>
      </c>
      <c r="O60">
        <f>$A58*P$4-Wing_Layout!$F$11</f>
        <v>14.8416</v>
      </c>
      <c r="P60">
        <f t="shared" si="12"/>
        <v>-9.833196000000001</v>
      </c>
      <c r="R60">
        <f>$A58*S$4-Wing_Layout!$F$12</f>
        <v>16.3672</v>
      </c>
      <c r="S60">
        <f t="shared" si="13"/>
        <v>-6.73684</v>
      </c>
      <c r="U60">
        <f>$A58*V$4-Wing_Layout!$F$13</f>
        <v>17.03</v>
      </c>
      <c r="V60">
        <f t="shared" si="14"/>
        <v>-3.7085</v>
      </c>
      <c r="X60">
        <f>$A58*Y$4-Wing_Layout!$F$14</f>
        <v>17.6928</v>
      </c>
      <c r="Y60">
        <f t="shared" si="15"/>
        <v>-0.68016</v>
      </c>
      <c r="AA60">
        <f>$A58*AB$4-Wing_Layout!$F$15</f>
        <v>18.3556</v>
      </c>
      <c r="AB60">
        <f t="shared" si="16"/>
        <v>2.34818</v>
      </c>
      <c r="AD60">
        <f>$A58*AE$4-Wing_Layout!$F$16</f>
        <v>19.0184</v>
      </c>
      <c r="AE60">
        <f t="shared" si="17"/>
        <v>5.37652</v>
      </c>
      <c r="AG60">
        <f>$A58*AH$4-Wing_Layout!$F$17</f>
        <v>20.0126</v>
      </c>
      <c r="AH60">
        <f t="shared" si="18"/>
        <v>8.41903</v>
      </c>
      <c r="AJ60">
        <f>$A58*AK$4-Wing_Layout!$F$18</f>
        <v>21.5696</v>
      </c>
      <c r="AK60">
        <f t="shared" si="19"/>
        <v>11.48988</v>
      </c>
    </row>
    <row r="61" spans="1:37" ht="12.75">
      <c r="A61">
        <v>0.21431</v>
      </c>
      <c r="B61">
        <v>-0.03224</v>
      </c>
      <c r="I61">
        <f>$A59*J$4-Wing_Layout!$F$9</f>
        <v>8.0612</v>
      </c>
      <c r="J61">
        <f t="shared" si="10"/>
        <v>-16.51674</v>
      </c>
      <c r="L61">
        <f>$A59*M$4-Wing_Layout!$F$10</f>
        <v>11.988959999999999</v>
      </c>
      <c r="M61">
        <f t="shared" si="11"/>
        <v>-13.112276</v>
      </c>
      <c r="O61">
        <f>$A59*P$4-Wing_Layout!$F$11</f>
        <v>15.52032</v>
      </c>
      <c r="P61">
        <f t="shared" si="12"/>
        <v>-9.874356</v>
      </c>
      <c r="R61">
        <f>$A59*S$4-Wing_Layout!$F$12</f>
        <v>16.99744</v>
      </c>
      <c r="S61">
        <f t="shared" si="13"/>
        <v>-6.7732399999999995</v>
      </c>
      <c r="U61">
        <f>$A59*V$4-Wing_Layout!$F$13</f>
        <v>17.636</v>
      </c>
      <c r="V61">
        <f t="shared" si="14"/>
        <v>-3.7435</v>
      </c>
      <c r="X61">
        <f>$A59*Y$4-Wing_Layout!$F$14</f>
        <v>18.27456</v>
      </c>
      <c r="Y61">
        <f t="shared" si="15"/>
        <v>-0.71376</v>
      </c>
      <c r="AA61">
        <f>$A59*AB$4-Wing_Layout!$F$15</f>
        <v>18.91312</v>
      </c>
      <c r="AB61">
        <f t="shared" si="16"/>
        <v>2.31598</v>
      </c>
      <c r="AD61">
        <f>$A59*AE$4-Wing_Layout!$F$16</f>
        <v>19.55168</v>
      </c>
      <c r="AE61">
        <f t="shared" si="17"/>
        <v>5.34572</v>
      </c>
      <c r="AG61">
        <f>$A59*AH$4-Wing_Layout!$F$17</f>
        <v>20.50952</v>
      </c>
      <c r="AH61">
        <f t="shared" si="18"/>
        <v>8.39033</v>
      </c>
      <c r="AJ61">
        <f>$A59*AK$4-Wing_Layout!$F$18</f>
        <v>22.005920000000003</v>
      </c>
      <c r="AK61">
        <f t="shared" si="19"/>
        <v>11.46468</v>
      </c>
    </row>
    <row r="62" spans="1:37" ht="12.75">
      <c r="A62">
        <v>0.24257</v>
      </c>
      <c r="B62">
        <v>-0.0333</v>
      </c>
      <c r="I62">
        <f>$A60*J$4-Wing_Layout!$F$9</f>
        <v>9.156424999999999</v>
      </c>
      <c r="J62">
        <f t="shared" si="10"/>
        <v>-16.58304</v>
      </c>
      <c r="L62">
        <f>$A60*M$4-Wing_Layout!$F$10</f>
        <v>12.86514</v>
      </c>
      <c r="M62">
        <f t="shared" si="11"/>
        <v>-13.160896000000001</v>
      </c>
      <c r="O62">
        <f>$A60*P$4-Wing_Layout!$F$11</f>
        <v>16.241880000000002</v>
      </c>
      <c r="P62">
        <f t="shared" si="12"/>
        <v>-9.912576</v>
      </c>
      <c r="R62">
        <f>$A60*S$4-Wing_Layout!$F$12</f>
        <v>17.66746</v>
      </c>
      <c r="S62">
        <f t="shared" si="13"/>
        <v>-6.80704</v>
      </c>
      <c r="U62">
        <f>$A60*V$4-Wing_Layout!$F$13</f>
        <v>18.28025</v>
      </c>
      <c r="V62">
        <f t="shared" si="14"/>
        <v>-3.776</v>
      </c>
      <c r="X62">
        <f>$A60*Y$4-Wing_Layout!$F$14</f>
        <v>18.89304</v>
      </c>
      <c r="Y62">
        <f t="shared" si="15"/>
        <v>-0.7449600000000001</v>
      </c>
      <c r="AA62">
        <f>$A60*AB$4-Wing_Layout!$F$15</f>
        <v>19.50583</v>
      </c>
      <c r="AB62">
        <f t="shared" si="16"/>
        <v>2.28608</v>
      </c>
      <c r="AD62">
        <f>$A60*AE$4-Wing_Layout!$F$16</f>
        <v>20.11862</v>
      </c>
      <c r="AE62">
        <f t="shared" si="17"/>
        <v>5.31712</v>
      </c>
      <c r="AG62">
        <f>$A60*AH$4-Wing_Layout!$F$17</f>
        <v>21.037805</v>
      </c>
      <c r="AH62">
        <f t="shared" si="18"/>
        <v>8.36368</v>
      </c>
      <c r="AJ62">
        <f>$A60*AK$4-Wing_Layout!$F$18</f>
        <v>22.46978</v>
      </c>
      <c r="AK62">
        <f t="shared" si="19"/>
        <v>11.44128</v>
      </c>
    </row>
    <row r="63" spans="1:37" ht="12.75">
      <c r="A63">
        <v>0.2718</v>
      </c>
      <c r="B63">
        <v>-0.03424</v>
      </c>
      <c r="I63">
        <f>$A61*J$4-Wing_Layout!$F$9</f>
        <v>10.308174999999999</v>
      </c>
      <c r="J63">
        <f t="shared" si="10"/>
        <v>-16.64424</v>
      </c>
      <c r="L63">
        <f>$A61*M$4-Wing_Layout!$F$10</f>
        <v>13.78654</v>
      </c>
      <c r="M63">
        <f t="shared" si="11"/>
        <v>-13.205776</v>
      </c>
      <c r="O63">
        <f>$A61*P$4-Wing_Layout!$F$11</f>
        <v>17.00068</v>
      </c>
      <c r="P63">
        <f t="shared" si="12"/>
        <v>-9.947856</v>
      </c>
      <c r="R63">
        <f>$A61*S$4-Wing_Layout!$F$12</f>
        <v>18.37206</v>
      </c>
      <c r="S63">
        <f t="shared" si="13"/>
        <v>-6.83824</v>
      </c>
      <c r="U63">
        <f>$A61*V$4-Wing_Layout!$F$13</f>
        <v>18.95775</v>
      </c>
      <c r="V63">
        <f t="shared" si="14"/>
        <v>-3.806</v>
      </c>
      <c r="X63">
        <f>$A61*Y$4-Wing_Layout!$F$14</f>
        <v>19.54344</v>
      </c>
      <c r="Y63">
        <f t="shared" si="15"/>
        <v>-0.77376</v>
      </c>
      <c r="AA63">
        <f>$A61*AB$4-Wing_Layout!$F$15</f>
        <v>20.12913</v>
      </c>
      <c r="AB63">
        <f t="shared" si="16"/>
        <v>2.25848</v>
      </c>
      <c r="AD63">
        <f>$A61*AE$4-Wing_Layout!$F$16</f>
        <v>20.71482</v>
      </c>
      <c r="AE63">
        <f t="shared" si="17"/>
        <v>5.29072</v>
      </c>
      <c r="AG63">
        <f>$A61*AH$4-Wing_Layout!$F$17</f>
        <v>21.593355</v>
      </c>
      <c r="AH63">
        <f t="shared" si="18"/>
        <v>8.33908</v>
      </c>
      <c r="AJ63">
        <f>$A61*AK$4-Wing_Layout!$F$18</f>
        <v>22.95758</v>
      </c>
      <c r="AK63">
        <f t="shared" si="19"/>
        <v>11.41968</v>
      </c>
    </row>
    <row r="64" spans="1:37" ht="12.75">
      <c r="A64">
        <v>0.30182</v>
      </c>
      <c r="B64">
        <v>-0.03504</v>
      </c>
      <c r="I64">
        <f>$A62*J$4-Wing_Layout!$F$9</f>
        <v>11.509224999999999</v>
      </c>
      <c r="J64">
        <f t="shared" si="10"/>
        <v>-16.6983</v>
      </c>
      <c r="L64">
        <f>$A62*M$4-Wing_Layout!$F$10</f>
        <v>14.74738</v>
      </c>
      <c r="M64">
        <f t="shared" si="11"/>
        <v>-13.245420000000001</v>
      </c>
      <c r="O64">
        <f>$A62*P$4-Wing_Layout!$F$11</f>
        <v>17.79196</v>
      </c>
      <c r="P64">
        <f t="shared" si="12"/>
        <v>-9.97902</v>
      </c>
      <c r="R64">
        <f>$A62*S$4-Wing_Layout!$F$12</f>
        <v>19.10682</v>
      </c>
      <c r="S64">
        <f t="shared" si="13"/>
        <v>-6.8658</v>
      </c>
      <c r="U64">
        <f>$A62*V$4-Wing_Layout!$F$13</f>
        <v>19.66425</v>
      </c>
      <c r="V64">
        <f t="shared" si="14"/>
        <v>-3.8325</v>
      </c>
      <c r="X64">
        <f>$A62*Y$4-Wing_Layout!$F$14</f>
        <v>20.22168</v>
      </c>
      <c r="Y64">
        <f t="shared" si="15"/>
        <v>-0.7992000000000001</v>
      </c>
      <c r="AA64">
        <f>$A62*AB$4-Wing_Layout!$F$15</f>
        <v>20.77911</v>
      </c>
      <c r="AB64">
        <f t="shared" si="16"/>
        <v>2.2340999999999998</v>
      </c>
      <c r="AD64">
        <f>$A62*AE$4-Wing_Layout!$F$16</f>
        <v>21.33654</v>
      </c>
      <c r="AE64">
        <f t="shared" si="17"/>
        <v>5.2674</v>
      </c>
      <c r="AG64">
        <f>$A62*AH$4-Wing_Layout!$F$17</f>
        <v>22.172685</v>
      </c>
      <c r="AH64">
        <f t="shared" si="18"/>
        <v>8.31735</v>
      </c>
      <c r="AJ64">
        <f>$A62*AK$4-Wing_Layout!$F$18</f>
        <v>23.466260000000002</v>
      </c>
      <c r="AK64">
        <f t="shared" si="19"/>
        <v>11.4006</v>
      </c>
    </row>
    <row r="65" spans="1:37" ht="12.75">
      <c r="A65">
        <v>0.33252</v>
      </c>
      <c r="B65">
        <v>-0.03571</v>
      </c>
      <c r="I65">
        <f>$A63*J$4-Wing_Layout!$F$9</f>
        <v>12.751499999999998</v>
      </c>
      <c r="J65">
        <f t="shared" si="10"/>
        <v>-16.74624</v>
      </c>
      <c r="L65">
        <f>$A63*M$4-Wing_Layout!$F$10</f>
        <v>15.7412</v>
      </c>
      <c r="M65">
        <f t="shared" si="11"/>
        <v>-13.280576</v>
      </c>
      <c r="O65">
        <f>$A63*P$4-Wing_Layout!$F$11</f>
        <v>18.6104</v>
      </c>
      <c r="P65">
        <f t="shared" si="12"/>
        <v>-10.006656</v>
      </c>
      <c r="R65">
        <f>$A63*S$4-Wing_Layout!$F$12</f>
        <v>19.8668</v>
      </c>
      <c r="S65">
        <f t="shared" si="13"/>
        <v>-6.89024</v>
      </c>
      <c r="U65">
        <f>$A63*V$4-Wing_Layout!$F$13</f>
        <v>20.395</v>
      </c>
      <c r="V65">
        <f t="shared" si="14"/>
        <v>-3.856</v>
      </c>
      <c r="X65">
        <f>$A63*Y$4-Wing_Layout!$F$14</f>
        <v>20.9232</v>
      </c>
      <c r="Y65">
        <f t="shared" si="15"/>
        <v>-0.82176</v>
      </c>
      <c r="AA65">
        <f>$A63*AB$4-Wing_Layout!$F$15</f>
        <v>21.4514</v>
      </c>
      <c r="AB65">
        <f t="shared" si="16"/>
        <v>2.2124800000000002</v>
      </c>
      <c r="AD65">
        <f>$A63*AE$4-Wing_Layout!$F$16</f>
        <v>21.979599999999998</v>
      </c>
      <c r="AE65">
        <f t="shared" si="17"/>
        <v>5.24672</v>
      </c>
      <c r="AG65">
        <f>$A63*AH$4-Wing_Layout!$F$17</f>
        <v>22.7719</v>
      </c>
      <c r="AH65">
        <f t="shared" si="18"/>
        <v>8.29808</v>
      </c>
      <c r="AJ65">
        <f>$A63*AK$4-Wing_Layout!$F$18</f>
        <v>23.9924</v>
      </c>
      <c r="AK65">
        <f t="shared" si="19"/>
        <v>11.38368</v>
      </c>
    </row>
    <row r="66" spans="1:37" ht="12.75">
      <c r="A66">
        <v>0.36383</v>
      </c>
      <c r="B66">
        <v>-0.03623</v>
      </c>
      <c r="I66">
        <f>$A64*J$4-Wing_Layout!$F$9</f>
        <v>14.027349999999998</v>
      </c>
      <c r="J66">
        <f t="shared" si="10"/>
        <v>-16.78704</v>
      </c>
      <c r="L66">
        <f>$A64*M$4-Wing_Layout!$F$10</f>
        <v>16.761879999999998</v>
      </c>
      <c r="M66">
        <f t="shared" si="11"/>
        <v>-13.310496</v>
      </c>
      <c r="O66">
        <f>$A64*P$4-Wing_Layout!$F$11</f>
        <v>19.45096</v>
      </c>
      <c r="P66">
        <f t="shared" si="12"/>
        <v>-10.030176</v>
      </c>
      <c r="R66">
        <f>$A64*S$4-Wing_Layout!$F$12</f>
        <v>20.64732</v>
      </c>
      <c r="S66">
        <f t="shared" si="13"/>
        <v>-6.91104</v>
      </c>
      <c r="U66">
        <f>$A64*V$4-Wing_Layout!$F$13</f>
        <v>21.1455</v>
      </c>
      <c r="V66">
        <f t="shared" si="14"/>
        <v>-3.876</v>
      </c>
      <c r="X66">
        <f>$A64*Y$4-Wing_Layout!$F$14</f>
        <v>21.64368</v>
      </c>
      <c r="Y66">
        <f t="shared" si="15"/>
        <v>-0.84096</v>
      </c>
      <c r="AA66">
        <f>$A64*AB$4-Wing_Layout!$F$15</f>
        <v>22.141859999999998</v>
      </c>
      <c r="AB66">
        <f t="shared" si="16"/>
        <v>2.19408</v>
      </c>
      <c r="AD66">
        <f>$A64*AE$4-Wing_Layout!$F$16</f>
        <v>22.64004</v>
      </c>
      <c r="AE66">
        <f t="shared" si="17"/>
        <v>5.22912</v>
      </c>
      <c r="AG66">
        <f>$A64*AH$4-Wing_Layout!$F$17</f>
        <v>23.38731</v>
      </c>
      <c r="AH66">
        <f t="shared" si="18"/>
        <v>8.28168</v>
      </c>
      <c r="AJ66">
        <f>$A64*AK$4-Wing_Layout!$F$18</f>
        <v>24.532760000000003</v>
      </c>
      <c r="AK66">
        <f t="shared" si="19"/>
        <v>11.36928</v>
      </c>
    </row>
    <row r="67" spans="1:37" ht="12.75">
      <c r="A67">
        <v>0.39572</v>
      </c>
      <c r="B67">
        <v>-0.0366</v>
      </c>
      <c r="I67">
        <f>$A65*J$4-Wing_Layout!$F$9</f>
        <v>15.332099999999999</v>
      </c>
      <c r="J67">
        <f t="shared" si="10"/>
        <v>-16.82121</v>
      </c>
      <c r="L67">
        <f>$A65*M$4-Wing_Layout!$F$10</f>
        <v>17.80568</v>
      </c>
      <c r="M67">
        <f t="shared" si="11"/>
        <v>-13.335554</v>
      </c>
      <c r="O67">
        <f>$A65*P$4-Wing_Layout!$F$11</f>
        <v>20.31056</v>
      </c>
      <c r="P67">
        <f t="shared" si="12"/>
        <v>-10.049873999999999</v>
      </c>
      <c r="R67">
        <f>$A65*S$4-Wing_Layout!$F$12</f>
        <v>21.445520000000002</v>
      </c>
      <c r="S67">
        <f t="shared" si="13"/>
        <v>-6.92846</v>
      </c>
      <c r="U67">
        <f>$A65*V$4-Wing_Layout!$F$13</f>
        <v>21.912999999999997</v>
      </c>
      <c r="V67">
        <f t="shared" si="14"/>
        <v>-3.89275</v>
      </c>
      <c r="X67">
        <f>$A65*Y$4-Wing_Layout!$F$14</f>
        <v>22.38048</v>
      </c>
      <c r="Y67">
        <f t="shared" si="15"/>
        <v>-0.85704</v>
      </c>
      <c r="AA67">
        <f>$A65*AB$4-Wing_Layout!$F$15</f>
        <v>22.84796</v>
      </c>
      <c r="AB67">
        <f t="shared" si="16"/>
        <v>2.17867</v>
      </c>
      <c r="AD67">
        <f>$A65*AE$4-Wing_Layout!$F$16</f>
        <v>23.31544</v>
      </c>
      <c r="AE67">
        <f t="shared" si="17"/>
        <v>5.21438</v>
      </c>
      <c r="AG67">
        <f>$A65*AH$4-Wing_Layout!$F$17</f>
        <v>24.016659999999998</v>
      </c>
      <c r="AH67">
        <f t="shared" si="18"/>
        <v>8.267945</v>
      </c>
      <c r="AJ67">
        <f>$A65*AK$4-Wing_Layout!$F$18</f>
        <v>25.08536</v>
      </c>
      <c r="AK67">
        <f t="shared" si="19"/>
        <v>11.35722</v>
      </c>
    </row>
    <row r="68" spans="1:37" ht="12.75">
      <c r="A68">
        <v>0.42812</v>
      </c>
      <c r="B68">
        <v>-0.03682</v>
      </c>
      <c r="I68">
        <f>$A66*J$4-Wing_Layout!$F$9</f>
        <v>16.662775</v>
      </c>
      <c r="J68">
        <f t="shared" si="10"/>
        <v>-16.84773</v>
      </c>
      <c r="L68">
        <f>$A66*M$4-Wing_Layout!$F$10</f>
        <v>18.87022</v>
      </c>
      <c r="M68">
        <f t="shared" si="11"/>
        <v>-13.355002</v>
      </c>
      <c r="O68">
        <f>$A66*P$4-Wing_Layout!$F$11</f>
        <v>21.18724</v>
      </c>
      <c r="P68">
        <f t="shared" si="12"/>
        <v>-10.065162</v>
      </c>
      <c r="R68">
        <f>$A66*S$4-Wing_Layout!$F$12</f>
        <v>22.25958</v>
      </c>
      <c r="S68">
        <f t="shared" si="13"/>
        <v>-6.94198</v>
      </c>
      <c r="U68">
        <f>$A66*V$4-Wing_Layout!$F$13</f>
        <v>22.695749999999997</v>
      </c>
      <c r="V68">
        <f t="shared" si="14"/>
        <v>-3.90575</v>
      </c>
      <c r="X68">
        <f>$A66*Y$4-Wing_Layout!$F$14</f>
        <v>23.13192</v>
      </c>
      <c r="Y68">
        <f t="shared" si="15"/>
        <v>-0.86952</v>
      </c>
      <c r="AA68">
        <f>$A66*AB$4-Wing_Layout!$F$15</f>
        <v>23.568089999999998</v>
      </c>
      <c r="AB68">
        <f t="shared" si="16"/>
        <v>2.16671</v>
      </c>
      <c r="AD68">
        <f>$A66*AE$4-Wing_Layout!$F$16</f>
        <v>24.004260000000002</v>
      </c>
      <c r="AE68">
        <f t="shared" si="17"/>
        <v>5.20294</v>
      </c>
      <c r="AG68">
        <f>$A66*AH$4-Wing_Layout!$F$17</f>
        <v>24.658514999999998</v>
      </c>
      <c r="AH68">
        <f t="shared" si="18"/>
        <v>8.257285</v>
      </c>
      <c r="AJ68">
        <f>$A66*AK$4-Wing_Layout!$F$18</f>
        <v>25.648940000000003</v>
      </c>
      <c r="AK68">
        <f t="shared" si="19"/>
        <v>11.34786</v>
      </c>
    </row>
    <row r="69" spans="1:37" ht="12.75">
      <c r="A69">
        <v>0.46098</v>
      </c>
      <c r="B69">
        <v>-0.03689</v>
      </c>
      <c r="I69">
        <f>$A67*J$4-Wing_Layout!$F$9</f>
        <v>18.0181</v>
      </c>
      <c r="J69">
        <f t="shared" si="10"/>
        <v>-16.8666</v>
      </c>
      <c r="L69">
        <f>$A67*M$4-Wing_Layout!$F$10</f>
        <v>19.95448</v>
      </c>
      <c r="M69">
        <f t="shared" si="11"/>
        <v>-13.36884</v>
      </c>
      <c r="O69">
        <f>$A67*P$4-Wing_Layout!$F$11</f>
        <v>22.08016</v>
      </c>
      <c r="P69">
        <f t="shared" si="12"/>
        <v>-10.076039999999999</v>
      </c>
      <c r="R69">
        <f>$A67*S$4-Wing_Layout!$F$12</f>
        <v>23.088720000000002</v>
      </c>
      <c r="S69">
        <f t="shared" si="13"/>
        <v>-6.9516</v>
      </c>
      <c r="U69">
        <f>$A67*V$4-Wing_Layout!$F$13</f>
        <v>23.493000000000002</v>
      </c>
      <c r="V69">
        <f t="shared" si="14"/>
        <v>-3.915</v>
      </c>
      <c r="X69">
        <f>$A67*Y$4-Wing_Layout!$F$14</f>
        <v>23.897280000000002</v>
      </c>
      <c r="Y69">
        <f t="shared" si="15"/>
        <v>-0.8784000000000001</v>
      </c>
      <c r="AA69">
        <f>$A67*AB$4-Wing_Layout!$F$15</f>
        <v>24.301560000000002</v>
      </c>
      <c r="AB69">
        <f t="shared" si="16"/>
        <v>2.1582</v>
      </c>
      <c r="AD69">
        <f>$A67*AE$4-Wing_Layout!$F$16</f>
        <v>24.705840000000002</v>
      </c>
      <c r="AE69">
        <f t="shared" si="17"/>
        <v>5.1948</v>
      </c>
      <c r="AG69">
        <f>$A67*AH$4-Wing_Layout!$F$17</f>
        <v>25.312260000000002</v>
      </c>
      <c r="AH69">
        <f t="shared" si="18"/>
        <v>8.2497</v>
      </c>
      <c r="AJ69">
        <f>$A67*AK$4-Wing_Layout!$F$18</f>
        <v>26.22296</v>
      </c>
      <c r="AK69">
        <f t="shared" si="19"/>
        <v>11.3412</v>
      </c>
    </row>
    <row r="70" spans="1:37" ht="12.75">
      <c r="A70">
        <v>0.49426</v>
      </c>
      <c r="B70">
        <v>-0.0368</v>
      </c>
      <c r="I70">
        <f>$A68*J$4-Wing_Layout!$F$9</f>
        <v>19.3951</v>
      </c>
      <c r="J70">
        <f t="shared" si="10"/>
        <v>-16.87782</v>
      </c>
      <c r="L70">
        <f>$A68*M$4-Wing_Layout!$F$10</f>
        <v>21.05608</v>
      </c>
      <c r="M70">
        <f t="shared" si="11"/>
        <v>-13.377068</v>
      </c>
      <c r="O70">
        <f>$A68*P$4-Wing_Layout!$F$11</f>
        <v>22.987360000000002</v>
      </c>
      <c r="P70">
        <f t="shared" si="12"/>
        <v>-10.082508</v>
      </c>
      <c r="R70">
        <f>$A68*S$4-Wing_Layout!$F$12</f>
        <v>23.93112</v>
      </c>
      <c r="S70">
        <f t="shared" si="13"/>
        <v>-6.95732</v>
      </c>
      <c r="U70">
        <f>$A68*V$4-Wing_Layout!$F$13</f>
        <v>24.302999999999997</v>
      </c>
      <c r="V70">
        <f t="shared" si="14"/>
        <v>-3.9205</v>
      </c>
      <c r="X70">
        <f>$A68*Y$4-Wing_Layout!$F$14</f>
        <v>24.67488</v>
      </c>
      <c r="Y70">
        <f t="shared" si="15"/>
        <v>-0.88368</v>
      </c>
      <c r="AA70">
        <f>$A68*AB$4-Wing_Layout!$F$15</f>
        <v>25.04676</v>
      </c>
      <c r="AB70">
        <f t="shared" si="16"/>
        <v>2.15314</v>
      </c>
      <c r="AD70">
        <f>$A68*AE$4-Wing_Layout!$F$16</f>
        <v>25.41864</v>
      </c>
      <c r="AE70">
        <f t="shared" si="17"/>
        <v>5.18996</v>
      </c>
      <c r="AG70">
        <f>$A68*AH$4-Wing_Layout!$F$17</f>
        <v>25.97646</v>
      </c>
      <c r="AH70">
        <f t="shared" si="18"/>
        <v>8.245190000000001</v>
      </c>
      <c r="AJ70">
        <f>$A68*AK$4-Wing_Layout!$F$18</f>
        <v>26.806160000000002</v>
      </c>
      <c r="AK70">
        <f t="shared" si="19"/>
        <v>11.33724</v>
      </c>
    </row>
    <row r="71" spans="1:37" ht="12.75">
      <c r="A71">
        <v>0.5279</v>
      </c>
      <c r="B71">
        <v>-0.03655</v>
      </c>
      <c r="I71">
        <f>$A69*J$4-Wing_Layout!$F$9</f>
        <v>20.79165</v>
      </c>
      <c r="J71">
        <f aca="true" t="shared" si="20" ref="J71:J85">$B69*J$5*J$4+J$6</f>
        <v>-16.88139</v>
      </c>
      <c r="L71">
        <f>$A69*M$4-Wing_Layout!$F$10</f>
        <v>22.17332</v>
      </c>
      <c r="M71">
        <f aca="true" t="shared" si="21" ref="M71:M85">$B69*M$5*M$4+M$6</f>
        <v>-13.379686</v>
      </c>
      <c r="O71">
        <f>$A69*P$4-Wing_Layout!$F$11</f>
        <v>23.90744</v>
      </c>
      <c r="P71">
        <f aca="true" t="shared" si="22" ref="P71:P85">$B69*P$5*P$4+P$6</f>
        <v>-10.084566</v>
      </c>
      <c r="R71">
        <f>$A69*S$4-Wing_Layout!$F$12</f>
        <v>24.78548</v>
      </c>
      <c r="S71">
        <f aca="true" t="shared" si="23" ref="S71:S85">$B69*S$5*S$4+S$6</f>
        <v>-6.95914</v>
      </c>
      <c r="U71">
        <f>$A69*V$4-Wing_Layout!$F$13</f>
        <v>25.124499999999998</v>
      </c>
      <c r="V71">
        <f aca="true" t="shared" si="24" ref="V71:V85">$B69*V$5*V$4+V$6</f>
        <v>-3.92225</v>
      </c>
      <c r="X71">
        <f>$A69*Y$4-Wing_Layout!$F$14</f>
        <v>25.463520000000003</v>
      </c>
      <c r="Y71">
        <f aca="true" t="shared" si="25" ref="Y71:Y85">$B69*Y$5*Y$4+Y$6</f>
        <v>-0.8853599999999999</v>
      </c>
      <c r="AA71">
        <f>$A69*AB$4-Wing_Layout!$F$15</f>
        <v>25.80254</v>
      </c>
      <c r="AB71">
        <f aca="true" t="shared" si="26" ref="AB71:AB85">$B69*AB$5*AB$4+AB$6</f>
        <v>2.15153</v>
      </c>
      <c r="AD71">
        <f>$A69*AE$4-Wing_Layout!$F$16</f>
        <v>26.14156</v>
      </c>
      <c r="AE71">
        <f aca="true" t="shared" si="27" ref="AE71:AE85">$B69*AE$5*AE$4+AE$6</f>
        <v>5.18842</v>
      </c>
      <c r="AG71">
        <f>$A69*AH$4-Wing_Layout!$F$17</f>
        <v>26.65009</v>
      </c>
      <c r="AH71">
        <f aca="true" t="shared" si="28" ref="AH71:AH85">$B69*AH$5*AH$4+AH$6</f>
        <v>8.243755</v>
      </c>
      <c r="AJ71">
        <f>$A69*AK$4-Wing_Layout!$F$18</f>
        <v>27.397640000000003</v>
      </c>
      <c r="AK71">
        <f aca="true" t="shared" si="29" ref="AK71:AK85">$B69*AK$5*AK$4+AK$6</f>
        <v>11.33598</v>
      </c>
    </row>
    <row r="72" spans="1:37" ht="12.75">
      <c r="A72">
        <v>0.56184</v>
      </c>
      <c r="B72">
        <v>-0.03614</v>
      </c>
      <c r="I72">
        <f>$A70*J$4-Wing_Layout!$F$9</f>
        <v>22.206049999999998</v>
      </c>
      <c r="J72">
        <f t="shared" si="20"/>
        <v>-16.8768</v>
      </c>
      <c r="L72">
        <f>$A70*M$4-Wing_Layout!$F$10</f>
        <v>23.30484</v>
      </c>
      <c r="M72">
        <f t="shared" si="21"/>
        <v>-13.37632</v>
      </c>
      <c r="O72">
        <f>$A70*P$4-Wing_Layout!$F$11</f>
        <v>24.83928</v>
      </c>
      <c r="P72">
        <f t="shared" si="22"/>
        <v>-10.08192</v>
      </c>
      <c r="R72">
        <f>$A70*S$4-Wing_Layout!$F$12</f>
        <v>25.65076</v>
      </c>
      <c r="S72">
        <f t="shared" si="23"/>
        <v>-6.9568</v>
      </c>
      <c r="U72">
        <f>$A70*V$4-Wing_Layout!$F$13</f>
        <v>25.9565</v>
      </c>
      <c r="V72">
        <f t="shared" si="24"/>
        <v>-3.92</v>
      </c>
      <c r="X72">
        <f>$A70*Y$4-Wing_Layout!$F$14</f>
        <v>26.26224</v>
      </c>
      <c r="Y72">
        <f t="shared" si="25"/>
        <v>-0.8832</v>
      </c>
      <c r="AA72">
        <f>$A70*AB$4-Wing_Layout!$F$15</f>
        <v>26.56798</v>
      </c>
      <c r="AB72">
        <f t="shared" si="26"/>
        <v>2.1536</v>
      </c>
      <c r="AD72">
        <f>$A70*AE$4-Wing_Layout!$F$16</f>
        <v>26.87372</v>
      </c>
      <c r="AE72">
        <f t="shared" si="27"/>
        <v>5.1904</v>
      </c>
      <c r="AG72">
        <f>$A70*AH$4-Wing_Layout!$F$17</f>
        <v>27.33233</v>
      </c>
      <c r="AH72">
        <f t="shared" si="28"/>
        <v>8.2456</v>
      </c>
      <c r="AJ72">
        <f>$A70*AK$4-Wing_Layout!$F$18</f>
        <v>27.99668</v>
      </c>
      <c r="AK72">
        <f t="shared" si="29"/>
        <v>11.3376</v>
      </c>
    </row>
    <row r="73" spans="1:37" ht="12.75">
      <c r="A73">
        <v>0.59604</v>
      </c>
      <c r="B73">
        <v>-0.03556</v>
      </c>
      <c r="I73">
        <f>$A71*J$4-Wing_Layout!$F$9</f>
        <v>23.63575</v>
      </c>
      <c r="J73">
        <f t="shared" si="20"/>
        <v>-16.86405</v>
      </c>
      <c r="L73">
        <f>$A71*M$4-Wing_Layout!$F$10</f>
        <v>24.448600000000003</v>
      </c>
      <c r="M73">
        <f t="shared" si="21"/>
        <v>-13.36697</v>
      </c>
      <c r="O73">
        <f>$A71*P$4-Wing_Layout!$F$11</f>
        <v>25.781200000000002</v>
      </c>
      <c r="P73">
        <f t="shared" si="22"/>
        <v>-10.07457</v>
      </c>
      <c r="R73">
        <f>$A71*S$4-Wing_Layout!$F$12</f>
        <v>26.5254</v>
      </c>
      <c r="S73">
        <f t="shared" si="23"/>
        <v>-6.9503</v>
      </c>
      <c r="U73">
        <f>$A71*V$4-Wing_Layout!$F$13</f>
        <v>26.7975</v>
      </c>
      <c r="V73">
        <f t="shared" si="24"/>
        <v>-3.91375</v>
      </c>
      <c r="X73">
        <f>$A71*Y$4-Wing_Layout!$F$14</f>
        <v>27.0696</v>
      </c>
      <c r="Y73">
        <f t="shared" si="25"/>
        <v>-0.8772</v>
      </c>
      <c r="AA73">
        <f>$A71*AB$4-Wing_Layout!$F$15</f>
        <v>27.3417</v>
      </c>
      <c r="AB73">
        <f t="shared" si="26"/>
        <v>2.15935</v>
      </c>
      <c r="AD73">
        <f>$A71*AE$4-Wing_Layout!$F$16</f>
        <v>27.6138</v>
      </c>
      <c r="AE73">
        <f t="shared" si="27"/>
        <v>5.1959</v>
      </c>
      <c r="AG73">
        <f>$A71*AH$4-Wing_Layout!$F$17</f>
        <v>28.02195</v>
      </c>
      <c r="AH73">
        <f t="shared" si="28"/>
        <v>8.250725</v>
      </c>
      <c r="AJ73">
        <f>$A71*AK$4-Wing_Layout!$F$18</f>
        <v>28.602200000000003</v>
      </c>
      <c r="AK73">
        <f t="shared" si="29"/>
        <v>11.3421</v>
      </c>
    </row>
    <row r="74" spans="1:37" ht="12.75">
      <c r="A74">
        <v>0.63047</v>
      </c>
      <c r="B74">
        <v>-0.03481</v>
      </c>
      <c r="I74">
        <f>$A72*J$4-Wing_Layout!$F$9</f>
        <v>25.0782</v>
      </c>
      <c r="J74">
        <f t="shared" si="20"/>
        <v>-16.84314</v>
      </c>
      <c r="L74">
        <f>$A72*M$4-Wing_Layout!$F$10</f>
        <v>25.60256</v>
      </c>
      <c r="M74">
        <f t="shared" si="21"/>
        <v>-13.351636</v>
      </c>
      <c r="O74">
        <f>$A72*P$4-Wing_Layout!$F$11</f>
        <v>26.73152</v>
      </c>
      <c r="P74">
        <f t="shared" si="22"/>
        <v>-10.062516</v>
      </c>
      <c r="R74">
        <f>$A72*S$4-Wing_Layout!$F$12</f>
        <v>27.40784</v>
      </c>
      <c r="S74">
        <f t="shared" si="23"/>
        <v>-6.93964</v>
      </c>
      <c r="U74">
        <f>$A72*V$4-Wing_Layout!$F$13</f>
        <v>27.646</v>
      </c>
      <c r="V74">
        <f t="shared" si="24"/>
        <v>-3.9035</v>
      </c>
      <c r="X74">
        <f>$A72*Y$4-Wing_Layout!$F$14</f>
        <v>27.88416</v>
      </c>
      <c r="Y74">
        <f t="shared" si="25"/>
        <v>-0.8673599999999999</v>
      </c>
      <c r="AA74">
        <f>$A72*AB$4-Wing_Layout!$F$15</f>
        <v>28.122320000000002</v>
      </c>
      <c r="AB74">
        <f t="shared" si="26"/>
        <v>2.16878</v>
      </c>
      <c r="AD74">
        <f>$A72*AE$4-Wing_Layout!$F$16</f>
        <v>28.360480000000003</v>
      </c>
      <c r="AE74">
        <f t="shared" si="27"/>
        <v>5.2049199999999995</v>
      </c>
      <c r="AG74">
        <f>$A72*AH$4-Wing_Layout!$F$17</f>
        <v>28.71772</v>
      </c>
      <c r="AH74">
        <f t="shared" si="28"/>
        <v>8.25913</v>
      </c>
      <c r="AJ74">
        <f>$A72*AK$4-Wing_Layout!$F$18</f>
        <v>29.213120000000004</v>
      </c>
      <c r="AK74">
        <f t="shared" si="29"/>
        <v>11.34948</v>
      </c>
    </row>
    <row r="75" spans="1:37" ht="12.75">
      <c r="A75">
        <v>0.66535</v>
      </c>
      <c r="B75">
        <v>-0.03379</v>
      </c>
      <c r="I75">
        <f>$A73*J$4-Wing_Layout!$F$9</f>
        <v>26.5317</v>
      </c>
      <c r="J75">
        <f t="shared" si="20"/>
        <v>-16.81356</v>
      </c>
      <c r="L75">
        <f>$A73*M$4-Wing_Layout!$F$10</f>
        <v>26.76536</v>
      </c>
      <c r="M75">
        <f t="shared" si="21"/>
        <v>-13.329944000000001</v>
      </c>
      <c r="O75">
        <f>$A73*P$4-Wing_Layout!$F$11</f>
        <v>27.68912</v>
      </c>
      <c r="P75">
        <f t="shared" si="22"/>
        <v>-10.045464</v>
      </c>
      <c r="R75">
        <f>$A73*S$4-Wing_Layout!$F$12</f>
        <v>28.297040000000003</v>
      </c>
      <c r="S75">
        <f t="shared" si="23"/>
        <v>-6.92456</v>
      </c>
      <c r="U75">
        <f>$A73*V$4-Wing_Layout!$F$13</f>
        <v>28.500999999999998</v>
      </c>
      <c r="V75">
        <f t="shared" si="24"/>
        <v>-3.8890000000000002</v>
      </c>
      <c r="X75">
        <f>$A73*Y$4-Wing_Layout!$F$14</f>
        <v>28.70496</v>
      </c>
      <c r="Y75">
        <f t="shared" si="25"/>
        <v>-0.85344</v>
      </c>
      <c r="AA75">
        <f>$A73*AB$4-Wing_Layout!$F$15</f>
        <v>28.908920000000002</v>
      </c>
      <c r="AB75">
        <f t="shared" si="26"/>
        <v>2.18212</v>
      </c>
      <c r="AD75">
        <f>$A73*AE$4-Wing_Layout!$F$16</f>
        <v>29.11288</v>
      </c>
      <c r="AE75">
        <f t="shared" si="27"/>
        <v>5.21768</v>
      </c>
      <c r="AG75">
        <f>$A73*AH$4-Wing_Layout!$F$17</f>
        <v>29.41882</v>
      </c>
      <c r="AH75">
        <f t="shared" si="28"/>
        <v>8.27102</v>
      </c>
      <c r="AJ75">
        <f>$A73*AK$4-Wing_Layout!$F$18</f>
        <v>29.828720000000004</v>
      </c>
      <c r="AK75">
        <f t="shared" si="29"/>
        <v>11.35992</v>
      </c>
    </row>
    <row r="76" spans="1:37" ht="12.75">
      <c r="A76">
        <v>0.70099</v>
      </c>
      <c r="B76">
        <v>-0.03239</v>
      </c>
      <c r="I76">
        <f>$A74*J$4-Wing_Layout!$F$9</f>
        <v>27.994974999999997</v>
      </c>
      <c r="J76">
        <f t="shared" si="20"/>
        <v>-16.77531</v>
      </c>
      <c r="L76">
        <f>$A74*M$4-Wing_Layout!$F$10</f>
        <v>27.93598</v>
      </c>
      <c r="M76">
        <f t="shared" si="21"/>
        <v>-13.301894</v>
      </c>
      <c r="O76">
        <f>$A74*P$4-Wing_Layout!$F$11</f>
        <v>28.65316</v>
      </c>
      <c r="P76">
        <f t="shared" si="22"/>
        <v>-10.023414</v>
      </c>
      <c r="R76">
        <f>$A74*S$4-Wing_Layout!$F$12</f>
        <v>29.19222</v>
      </c>
      <c r="S76">
        <f t="shared" si="23"/>
        <v>-6.90506</v>
      </c>
      <c r="U76">
        <f>$A74*V$4-Wing_Layout!$F$13</f>
        <v>29.36175</v>
      </c>
      <c r="V76">
        <f t="shared" si="24"/>
        <v>-3.87025</v>
      </c>
      <c r="X76">
        <f>$A74*Y$4-Wing_Layout!$F$14</f>
        <v>29.531280000000002</v>
      </c>
      <c r="Y76">
        <f t="shared" si="25"/>
        <v>-0.83544</v>
      </c>
      <c r="AA76">
        <f>$A74*AB$4-Wing_Layout!$F$15</f>
        <v>29.700809999999997</v>
      </c>
      <c r="AB76">
        <f t="shared" si="26"/>
        <v>2.19937</v>
      </c>
      <c r="AD76">
        <f>$A74*AE$4-Wing_Layout!$F$16</f>
        <v>29.87034</v>
      </c>
      <c r="AE76">
        <f t="shared" si="27"/>
        <v>5.23418</v>
      </c>
      <c r="AG76">
        <f>$A74*AH$4-Wing_Layout!$F$17</f>
        <v>30.124634999999998</v>
      </c>
      <c r="AH76">
        <f t="shared" si="28"/>
        <v>8.286395</v>
      </c>
      <c r="AJ76">
        <f>$A74*AK$4-Wing_Layout!$F$18</f>
        <v>30.44846</v>
      </c>
      <c r="AK76">
        <f t="shared" si="29"/>
        <v>11.37342</v>
      </c>
    </row>
    <row r="77" spans="1:37" ht="12.75">
      <c r="A77">
        <v>0.73774</v>
      </c>
      <c r="B77">
        <v>-0.03049</v>
      </c>
      <c r="I77">
        <f>$A75*J$4-Wing_Layout!$F$9</f>
        <v>29.477375</v>
      </c>
      <c r="J77">
        <f t="shared" si="20"/>
        <v>-16.72329</v>
      </c>
      <c r="L77">
        <f>$A75*M$4-Wing_Layout!$F$10</f>
        <v>29.1219</v>
      </c>
      <c r="M77">
        <f t="shared" si="21"/>
        <v>-13.263746</v>
      </c>
      <c r="O77">
        <f>$A75*P$4-Wing_Layout!$F$11</f>
        <v>29.6298</v>
      </c>
      <c r="P77">
        <f t="shared" si="22"/>
        <v>-9.993426</v>
      </c>
      <c r="R77">
        <f>$A75*S$4-Wing_Layout!$F$12</f>
        <v>30.0991</v>
      </c>
      <c r="S77">
        <f t="shared" si="23"/>
        <v>-6.87854</v>
      </c>
      <c r="U77">
        <f>$A75*V$4-Wing_Layout!$F$13</f>
        <v>30.23375</v>
      </c>
      <c r="V77">
        <f t="shared" si="24"/>
        <v>-3.84475</v>
      </c>
      <c r="X77">
        <f>$A75*Y$4-Wing_Layout!$F$14</f>
        <v>30.3684</v>
      </c>
      <c r="Y77">
        <f t="shared" si="25"/>
        <v>-0.81096</v>
      </c>
      <c r="AA77">
        <f>$A75*AB$4-Wing_Layout!$F$15</f>
        <v>30.50305</v>
      </c>
      <c r="AB77">
        <f t="shared" si="26"/>
        <v>2.22283</v>
      </c>
      <c r="AD77">
        <f>$A75*AE$4-Wing_Layout!$F$16</f>
        <v>30.637700000000002</v>
      </c>
      <c r="AE77">
        <f t="shared" si="27"/>
        <v>5.25662</v>
      </c>
      <c r="AG77">
        <f>$A75*AH$4-Wing_Layout!$F$17</f>
        <v>30.839675</v>
      </c>
      <c r="AH77">
        <f t="shared" si="28"/>
        <v>8.307305</v>
      </c>
      <c r="AJ77">
        <f>$A75*AK$4-Wing_Layout!$F$18</f>
        <v>31.076300000000003</v>
      </c>
      <c r="AK77">
        <f t="shared" si="29"/>
        <v>11.39178</v>
      </c>
    </row>
    <row r="78" spans="1:37" ht="12.75">
      <c r="A78">
        <v>0.77592</v>
      </c>
      <c r="B78">
        <v>-0.02799</v>
      </c>
      <c r="I78">
        <f>$A76*J$4-Wing_Layout!$F$9</f>
        <v>30.992075</v>
      </c>
      <c r="J78">
        <f t="shared" si="20"/>
        <v>-16.65189</v>
      </c>
      <c r="L78">
        <f>$A76*M$4-Wing_Layout!$F$10</f>
        <v>30.333660000000002</v>
      </c>
      <c r="M78">
        <f t="shared" si="21"/>
        <v>-13.211386000000001</v>
      </c>
      <c r="O78">
        <f>$A76*P$4-Wing_Layout!$F$11</f>
        <v>30.62772</v>
      </c>
      <c r="P78">
        <f t="shared" si="22"/>
        <v>-9.952266</v>
      </c>
      <c r="R78">
        <f>$A76*S$4-Wing_Layout!$F$12</f>
        <v>31.025740000000003</v>
      </c>
      <c r="S78">
        <f t="shared" si="23"/>
        <v>-6.8421400000000006</v>
      </c>
      <c r="U78">
        <f>$A76*V$4-Wing_Layout!$F$13</f>
        <v>31.12475</v>
      </c>
      <c r="V78">
        <f t="shared" si="24"/>
        <v>-3.80975</v>
      </c>
      <c r="X78">
        <f>$A76*Y$4-Wing_Layout!$F$14</f>
        <v>31.22376</v>
      </c>
      <c r="Y78">
        <f t="shared" si="25"/>
        <v>-0.77736</v>
      </c>
      <c r="AA78">
        <f>$A76*AB$4-Wing_Layout!$F$15</f>
        <v>31.32277</v>
      </c>
      <c r="AB78">
        <f t="shared" si="26"/>
        <v>2.25503</v>
      </c>
      <c r="AD78">
        <f>$A76*AE$4-Wing_Layout!$F$16</f>
        <v>31.42178</v>
      </c>
      <c r="AE78">
        <f t="shared" si="27"/>
        <v>5.28742</v>
      </c>
      <c r="AG78">
        <f>$A76*AH$4-Wing_Layout!$F$17</f>
        <v>31.570295</v>
      </c>
      <c r="AH78">
        <f t="shared" si="28"/>
        <v>8.336005</v>
      </c>
      <c r="AJ78">
        <f>$A76*AK$4-Wing_Layout!$F$18</f>
        <v>31.717820000000003</v>
      </c>
      <c r="AK78">
        <f t="shared" si="29"/>
        <v>11.41698</v>
      </c>
    </row>
    <row r="79" spans="1:37" ht="12.75">
      <c r="A79">
        <v>0.81587</v>
      </c>
      <c r="B79">
        <v>-0.02479</v>
      </c>
      <c r="I79">
        <f>$A77*J$4-Wing_Layout!$F$9</f>
        <v>32.55395</v>
      </c>
      <c r="J79">
        <f t="shared" si="20"/>
        <v>-16.55499</v>
      </c>
      <c r="L79">
        <f>$A77*M$4-Wing_Layout!$F$10</f>
        <v>31.58316</v>
      </c>
      <c r="M79">
        <f t="shared" si="21"/>
        <v>-13.140326</v>
      </c>
      <c r="O79">
        <f>$A77*P$4-Wing_Layout!$F$11</f>
        <v>31.65672</v>
      </c>
      <c r="P79">
        <f t="shared" si="22"/>
        <v>-9.896406</v>
      </c>
      <c r="R79">
        <f>$A77*S$4-Wing_Layout!$F$12</f>
        <v>31.98124</v>
      </c>
      <c r="S79">
        <f t="shared" si="23"/>
        <v>-6.79274</v>
      </c>
      <c r="U79">
        <f>$A77*V$4-Wing_Layout!$F$13</f>
        <v>32.0435</v>
      </c>
      <c r="V79">
        <f t="shared" si="24"/>
        <v>-3.76225</v>
      </c>
      <c r="X79">
        <f>$A77*Y$4-Wing_Layout!$F$14</f>
        <v>32.10576</v>
      </c>
      <c r="Y79">
        <f t="shared" si="25"/>
        <v>-0.73176</v>
      </c>
      <c r="AA79">
        <f>$A77*AB$4-Wing_Layout!$F$15</f>
        <v>32.16802</v>
      </c>
      <c r="AB79">
        <f t="shared" si="26"/>
        <v>2.29873</v>
      </c>
      <c r="AD79">
        <f>$A77*AE$4-Wing_Layout!$F$16</f>
        <v>32.23028</v>
      </c>
      <c r="AE79">
        <f t="shared" si="27"/>
        <v>5.32922</v>
      </c>
      <c r="AG79">
        <f>$A77*AH$4-Wing_Layout!$F$17</f>
        <v>32.32367</v>
      </c>
      <c r="AH79">
        <f t="shared" si="28"/>
        <v>8.374955</v>
      </c>
      <c r="AJ79">
        <f>$A77*AK$4-Wing_Layout!$F$18</f>
        <v>32.37932</v>
      </c>
      <c r="AK79">
        <f t="shared" si="29"/>
        <v>11.45118</v>
      </c>
    </row>
    <row r="80" spans="1:37" ht="12.75">
      <c r="A80">
        <v>0.85792</v>
      </c>
      <c r="B80">
        <v>-0.02076</v>
      </c>
      <c r="I80">
        <f>$A78*J$4-Wing_Layout!$F$9</f>
        <v>34.17660000000001</v>
      </c>
      <c r="J80">
        <f t="shared" si="20"/>
        <v>-16.42749</v>
      </c>
      <c r="L80">
        <f>$A78*M$4-Wing_Layout!$F$10</f>
        <v>32.881280000000004</v>
      </c>
      <c r="M80">
        <f t="shared" si="21"/>
        <v>-13.046826</v>
      </c>
      <c r="O80">
        <f>$A78*P$4-Wing_Layout!$F$11</f>
        <v>32.72576</v>
      </c>
      <c r="P80">
        <f t="shared" si="22"/>
        <v>-9.822906</v>
      </c>
      <c r="R80">
        <f>$A78*S$4-Wing_Layout!$F$12</f>
        <v>32.97392000000001</v>
      </c>
      <c r="S80">
        <f t="shared" si="23"/>
        <v>-6.72774</v>
      </c>
      <c r="U80">
        <f>$A78*V$4-Wing_Layout!$F$13</f>
        <v>32.998</v>
      </c>
      <c r="V80">
        <f t="shared" si="24"/>
        <v>-3.69975</v>
      </c>
      <c r="X80">
        <f>$A78*Y$4-Wing_Layout!$F$14</f>
        <v>33.02208</v>
      </c>
      <c r="Y80">
        <f t="shared" si="25"/>
        <v>-0.67176</v>
      </c>
      <c r="AA80">
        <f>$A78*AB$4-Wing_Layout!$F$15</f>
        <v>33.04616</v>
      </c>
      <c r="AB80">
        <f t="shared" si="26"/>
        <v>2.35623</v>
      </c>
      <c r="AD80">
        <f>$A78*AE$4-Wing_Layout!$F$16</f>
        <v>33.07024</v>
      </c>
      <c r="AE80">
        <f t="shared" si="27"/>
        <v>5.38422</v>
      </c>
      <c r="AG80">
        <f>$A78*AH$4-Wing_Layout!$F$17</f>
        <v>33.10636</v>
      </c>
      <c r="AH80">
        <f t="shared" si="28"/>
        <v>8.426205</v>
      </c>
      <c r="AJ80">
        <f>$A78*AK$4-Wing_Layout!$F$18</f>
        <v>33.06656</v>
      </c>
      <c r="AK80">
        <f t="shared" si="29"/>
        <v>11.49618</v>
      </c>
    </row>
    <row r="81" spans="1:37" ht="12.75">
      <c r="A81">
        <v>0.90241</v>
      </c>
      <c r="B81">
        <v>-0.01579</v>
      </c>
      <c r="I81">
        <f>$A79*J$4-Wing_Layout!$F$9</f>
        <v>35.874475000000004</v>
      </c>
      <c r="J81">
        <f t="shared" si="20"/>
        <v>-16.26429</v>
      </c>
      <c r="L81">
        <f>$A79*M$4-Wing_Layout!$F$10</f>
        <v>34.239580000000004</v>
      </c>
      <c r="M81">
        <f t="shared" si="21"/>
        <v>-12.927146</v>
      </c>
      <c r="O81">
        <f>$A79*P$4-Wing_Layout!$F$11</f>
        <v>33.844359999999995</v>
      </c>
      <c r="P81">
        <f t="shared" si="22"/>
        <v>-9.728826</v>
      </c>
      <c r="R81">
        <f>$A79*S$4-Wing_Layout!$F$12</f>
        <v>34.01262</v>
      </c>
      <c r="S81">
        <f t="shared" si="23"/>
        <v>-6.64454</v>
      </c>
      <c r="U81">
        <f>$A79*V$4-Wing_Layout!$F$13</f>
        <v>33.99675</v>
      </c>
      <c r="V81">
        <f t="shared" si="24"/>
        <v>-3.61975</v>
      </c>
      <c r="X81">
        <f>$A79*Y$4-Wing_Layout!$F$14</f>
        <v>33.98088</v>
      </c>
      <c r="Y81">
        <f t="shared" si="25"/>
        <v>-0.5949599999999999</v>
      </c>
      <c r="AA81">
        <f>$A79*AB$4-Wing_Layout!$F$15</f>
        <v>33.96501</v>
      </c>
      <c r="AB81">
        <f t="shared" si="26"/>
        <v>2.42983</v>
      </c>
      <c r="AD81">
        <f>$A79*AE$4-Wing_Layout!$F$16</f>
        <v>33.94914</v>
      </c>
      <c r="AE81">
        <f t="shared" si="27"/>
        <v>5.45462</v>
      </c>
      <c r="AG81">
        <f>$A79*AH$4-Wing_Layout!$F$17</f>
        <v>33.925335000000004</v>
      </c>
      <c r="AH81">
        <f t="shared" si="28"/>
        <v>8.491805</v>
      </c>
      <c r="AJ81">
        <f>$A79*AK$4-Wing_Layout!$F$18</f>
        <v>33.78566</v>
      </c>
      <c r="AK81">
        <f t="shared" si="29"/>
        <v>11.55378</v>
      </c>
    </row>
    <row r="82" spans="1:37" ht="12.75">
      <c r="A82">
        <v>0.94965</v>
      </c>
      <c r="B82">
        <v>-0.00974</v>
      </c>
      <c r="I82">
        <f>$A80*J$4-Wing_Layout!$F$9</f>
        <v>37.66160000000001</v>
      </c>
      <c r="J82">
        <f t="shared" si="20"/>
        <v>-16.05876</v>
      </c>
      <c r="L82">
        <f>$A80*M$4-Wing_Layout!$F$10</f>
        <v>35.66928</v>
      </c>
      <c r="M82">
        <f t="shared" si="21"/>
        <v>-12.776424</v>
      </c>
      <c r="O82">
        <f>$A80*P$4-Wing_Layout!$F$11</f>
        <v>35.02176</v>
      </c>
      <c r="P82">
        <f t="shared" si="22"/>
        <v>-9.610344</v>
      </c>
      <c r="R82">
        <f>$A80*S$4-Wing_Layout!$F$12</f>
        <v>35.10592</v>
      </c>
      <c r="S82">
        <f t="shared" si="23"/>
        <v>-6.53976</v>
      </c>
      <c r="U82">
        <f>$A80*V$4-Wing_Layout!$F$13</f>
        <v>35.048</v>
      </c>
      <c r="V82">
        <f t="shared" si="24"/>
        <v>-3.519</v>
      </c>
      <c r="X82">
        <f>$A80*Y$4-Wing_Layout!$F$14</f>
        <v>34.99008</v>
      </c>
      <c r="Y82">
        <f t="shared" si="25"/>
        <v>-0.49824</v>
      </c>
      <c r="AA82">
        <f>$A80*AB$4-Wing_Layout!$F$15</f>
        <v>34.932159999999996</v>
      </c>
      <c r="AB82">
        <f t="shared" si="26"/>
        <v>2.52252</v>
      </c>
      <c r="AD82">
        <f>$A80*AE$4-Wing_Layout!$F$16</f>
        <v>34.87424</v>
      </c>
      <c r="AE82">
        <f t="shared" si="27"/>
        <v>5.54328</v>
      </c>
      <c r="AG82">
        <f>$A80*AH$4-Wing_Layout!$F$17</f>
        <v>34.78736</v>
      </c>
      <c r="AH82">
        <f t="shared" si="28"/>
        <v>8.57442</v>
      </c>
      <c r="AJ82">
        <f>$A80*AK$4-Wing_Layout!$F$18</f>
        <v>34.54256</v>
      </c>
      <c r="AK82">
        <f t="shared" si="29"/>
        <v>11.62632</v>
      </c>
    </row>
    <row r="83" spans="1:37" ht="12.75">
      <c r="A83">
        <v>1</v>
      </c>
      <c r="B83">
        <v>-0.00249</v>
      </c>
      <c r="I83">
        <f>$A81*J$4-Wing_Layout!$F$9</f>
        <v>39.55242500000001</v>
      </c>
      <c r="J83">
        <f t="shared" si="20"/>
        <v>-15.80529</v>
      </c>
      <c r="L83">
        <f>$A81*M$4-Wing_Layout!$F$10</f>
        <v>37.18194</v>
      </c>
      <c r="M83">
        <f t="shared" si="21"/>
        <v>-12.590546</v>
      </c>
      <c r="O83">
        <f>$A81*P$4-Wing_Layout!$F$11</f>
        <v>36.267480000000006</v>
      </c>
      <c r="P83">
        <f t="shared" si="22"/>
        <v>-9.464226</v>
      </c>
      <c r="R83">
        <f>$A81*S$4-Wing_Layout!$F$12</f>
        <v>36.26266</v>
      </c>
      <c r="S83">
        <f t="shared" si="23"/>
        <v>-6.41054</v>
      </c>
      <c r="U83">
        <f>$A81*V$4-Wing_Layout!$F$13</f>
        <v>36.16025</v>
      </c>
      <c r="V83">
        <f t="shared" si="24"/>
        <v>-3.39475</v>
      </c>
      <c r="X83">
        <f>$A81*Y$4-Wing_Layout!$F$14</f>
        <v>36.05784</v>
      </c>
      <c r="Y83">
        <f t="shared" si="25"/>
        <v>-0.37895999999999996</v>
      </c>
      <c r="AA83">
        <f>$A81*AB$4-Wing_Layout!$F$15</f>
        <v>35.95543</v>
      </c>
      <c r="AB83">
        <f t="shared" si="26"/>
        <v>2.63683</v>
      </c>
      <c r="AD83">
        <f>$A81*AE$4-Wing_Layout!$F$16</f>
        <v>35.85302</v>
      </c>
      <c r="AE83">
        <f t="shared" si="27"/>
        <v>5.65262</v>
      </c>
      <c r="AG83">
        <f>$A81*AH$4-Wing_Layout!$F$17</f>
        <v>35.699405</v>
      </c>
      <c r="AH83">
        <f t="shared" si="28"/>
        <v>8.676305</v>
      </c>
      <c r="AJ83">
        <f>$A81*AK$4-Wing_Layout!$F$18</f>
        <v>35.34338</v>
      </c>
      <c r="AK83">
        <f t="shared" si="29"/>
        <v>11.71578</v>
      </c>
    </row>
    <row r="84" spans="9:37" ht="12.75">
      <c r="I84">
        <f>$A82*J$4-Wing_Layout!$F$9</f>
        <v>41.560125</v>
      </c>
      <c r="J84">
        <f t="shared" si="20"/>
        <v>-15.49674</v>
      </c>
      <c r="L84">
        <f>$A82*M$4-Wing_Layout!$F$10</f>
        <v>38.7881</v>
      </c>
      <c r="M84">
        <f t="shared" si="21"/>
        <v>-12.364276</v>
      </c>
      <c r="O84">
        <f>$A82*P$4-Wing_Layout!$F$11</f>
        <v>37.590199999999996</v>
      </c>
      <c r="P84">
        <f t="shared" si="22"/>
        <v>-9.286356</v>
      </c>
      <c r="R84">
        <f>$A82*S$4-Wing_Layout!$F$12</f>
        <v>37.490899999999996</v>
      </c>
      <c r="S84">
        <f t="shared" si="23"/>
        <v>-6.25324</v>
      </c>
      <c r="U84">
        <f>$A82*V$4-Wing_Layout!$F$13</f>
        <v>37.34125</v>
      </c>
      <c r="V84">
        <f t="shared" si="24"/>
        <v>-3.2435</v>
      </c>
      <c r="X84">
        <f>$A82*Y$4-Wing_Layout!$F$14</f>
        <v>37.1916</v>
      </c>
      <c r="Y84">
        <f t="shared" si="25"/>
        <v>-0.23376000000000002</v>
      </c>
      <c r="AA84">
        <f>$A82*AB$4-Wing_Layout!$F$15</f>
        <v>37.04195</v>
      </c>
      <c r="AB84">
        <f t="shared" si="26"/>
        <v>2.77598</v>
      </c>
      <c r="AD84">
        <f>$A82*AE$4-Wing_Layout!$F$16</f>
        <v>36.8923</v>
      </c>
      <c r="AE84">
        <f t="shared" si="27"/>
        <v>5.78572</v>
      </c>
      <c r="AG84">
        <f>$A82*AH$4-Wing_Layout!$F$17</f>
        <v>36.667825</v>
      </c>
      <c r="AH84">
        <f t="shared" si="28"/>
        <v>8.80033</v>
      </c>
      <c r="AJ84">
        <f>$A82*AK$4-Wing_Layout!$F$18</f>
        <v>36.1937</v>
      </c>
      <c r="AK84">
        <f t="shared" si="29"/>
        <v>11.82468</v>
      </c>
    </row>
    <row r="85" spans="9:37" ht="12.75">
      <c r="I85">
        <f>$A83*J$4-Wing_Layout!$F$9</f>
        <v>43.7</v>
      </c>
      <c r="J85">
        <f t="shared" si="20"/>
        <v>-15.12699</v>
      </c>
      <c r="L85">
        <f>$A83*M$4-Wing_Layout!$F$10</f>
        <v>40.5</v>
      </c>
      <c r="M85">
        <f t="shared" si="21"/>
        <v>-12.093126</v>
      </c>
      <c r="O85">
        <f>$A83*P$4-Wing_Layout!$F$11</f>
        <v>39</v>
      </c>
      <c r="P85">
        <f t="shared" si="22"/>
        <v>-9.073206</v>
      </c>
      <c r="R85">
        <f>$A83*S$4-Wing_Layout!$F$12</f>
        <v>38.8</v>
      </c>
      <c r="S85">
        <f t="shared" si="23"/>
        <v>-6.06474</v>
      </c>
      <c r="U85">
        <f>$A83*V$4-Wing_Layout!$F$13</f>
        <v>38.6</v>
      </c>
      <c r="V85">
        <f t="shared" si="24"/>
        <v>-3.06225</v>
      </c>
      <c r="X85">
        <f>$A83*Y$4-Wing_Layout!$F$14</f>
        <v>38.4</v>
      </c>
      <c r="Y85">
        <f t="shared" si="25"/>
        <v>-0.05976</v>
      </c>
      <c r="AA85">
        <f>$A83*AB$4-Wing_Layout!$F$15</f>
        <v>38.2</v>
      </c>
      <c r="AB85">
        <f t="shared" si="26"/>
        <v>2.94273</v>
      </c>
      <c r="AD85">
        <f>$A83*AE$4-Wing_Layout!$F$16</f>
        <v>38</v>
      </c>
      <c r="AE85">
        <f t="shared" si="27"/>
        <v>5.94522</v>
      </c>
      <c r="AG85">
        <f>$A83*AH$4-Wing_Layout!$F$17</f>
        <v>37.7</v>
      </c>
      <c r="AH85">
        <f t="shared" si="28"/>
        <v>8.948955</v>
      </c>
      <c r="AJ85">
        <f>$A83*AK$4-Wing_Layout!$F$18</f>
        <v>37.1</v>
      </c>
      <c r="AK85">
        <f t="shared" si="29"/>
        <v>11.95518</v>
      </c>
    </row>
    <row r="86" spans="5:62" ht="12.75">
      <c r="E86" s="14"/>
      <c r="F86" s="14"/>
      <c r="G86" s="14"/>
      <c r="H86" s="14"/>
      <c r="I86" s="14">
        <f>I85</f>
        <v>43.7</v>
      </c>
      <c r="J86" s="14">
        <f>J7</f>
        <v>-14.87199</v>
      </c>
      <c r="K86" s="14"/>
      <c r="L86" s="14">
        <f>L85</f>
        <v>40.5</v>
      </c>
      <c r="M86" s="14">
        <f>M7</f>
        <v>-11.906126</v>
      </c>
      <c r="N86" s="14"/>
      <c r="O86" s="14">
        <f>O85</f>
        <v>39</v>
      </c>
      <c r="P86" s="14">
        <f>P7</f>
        <v>-8.926206</v>
      </c>
      <c r="Q86" s="14"/>
      <c r="R86" s="14">
        <f>R85</f>
        <v>38.8</v>
      </c>
      <c r="S86" s="14">
        <f>S7</f>
        <v>-5.93474</v>
      </c>
      <c r="T86" s="14"/>
      <c r="U86" s="14">
        <f>U85</f>
        <v>38.6</v>
      </c>
      <c r="V86" s="14">
        <f>V7</f>
        <v>-2.93725</v>
      </c>
      <c r="W86" s="14"/>
      <c r="X86" s="14">
        <f>X85</f>
        <v>38.4</v>
      </c>
      <c r="Y86" s="14">
        <f>Y7</f>
        <v>0.06024</v>
      </c>
      <c r="Z86" s="14"/>
      <c r="AA86" s="14">
        <f>AA85</f>
        <v>38.2</v>
      </c>
      <c r="AB86" s="14">
        <f>AB7</f>
        <v>3.05773</v>
      </c>
      <c r="AC86" s="14"/>
      <c r="AD86" s="14">
        <f>AD85</f>
        <v>38</v>
      </c>
      <c r="AE86" s="14">
        <f>AE7</f>
        <v>6.05522</v>
      </c>
      <c r="AF86" s="14"/>
      <c r="AG86" s="14">
        <f>AG85</f>
        <v>37.7</v>
      </c>
      <c r="AH86" s="14">
        <f>AH7</f>
        <v>9.051455</v>
      </c>
      <c r="AI86" s="14"/>
      <c r="AJ86" s="14">
        <f>AJ85</f>
        <v>37.1</v>
      </c>
      <c r="AK86" s="14">
        <f>AK7</f>
        <v>12.04518</v>
      </c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</row>
    <row r="87" spans="5:62" ht="12.75">
      <c r="E87" s="7"/>
      <c r="F87" s="7"/>
      <c r="G87" s="7"/>
      <c r="H87" s="14"/>
      <c r="I87" s="14"/>
      <c r="J87" s="7"/>
      <c r="K87" s="7"/>
      <c r="L87" s="14"/>
      <c r="M87" s="7"/>
      <c r="N87" s="14"/>
      <c r="O87" s="14"/>
      <c r="P87" s="7"/>
      <c r="Q87" s="7"/>
      <c r="R87" s="14"/>
      <c r="S87" s="7"/>
      <c r="T87" s="14"/>
      <c r="U87" s="14"/>
      <c r="V87" s="7"/>
      <c r="W87" s="7"/>
      <c r="X87" s="14"/>
      <c r="Y87" s="7"/>
      <c r="Z87" s="14"/>
      <c r="AA87" s="14"/>
      <c r="AB87" s="7"/>
      <c r="AC87" s="7"/>
      <c r="AD87" s="14"/>
      <c r="AE87" s="7"/>
      <c r="AF87" s="14"/>
      <c r="AG87" s="14"/>
      <c r="AH87" s="7"/>
      <c r="AI87" s="7"/>
      <c r="AJ87" s="14"/>
      <c r="AK87" s="7"/>
      <c r="AL87" s="14"/>
      <c r="AM87" s="14"/>
      <c r="AN87" s="14"/>
      <c r="AO87" s="7"/>
      <c r="AP87" s="7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</row>
    <row r="88" spans="5:62" ht="12.75">
      <c r="E88" s="7"/>
      <c r="F88" s="7"/>
      <c r="G88" s="7"/>
      <c r="H88" s="14"/>
      <c r="I88">
        <f>R104+1</f>
        <v>27</v>
      </c>
      <c r="J88">
        <f>0.032*J$5*J$4+J$6</f>
        <v>-13.368</v>
      </c>
      <c r="L88">
        <f>U104+0.8</f>
        <v>26.8</v>
      </c>
      <c r="M88">
        <f>0.033*M$5*M$4+M$6</f>
        <v>-10.7658</v>
      </c>
      <c r="O88">
        <f>X104+0.8</f>
        <v>26.8</v>
      </c>
      <c r="P88">
        <f>0.035*P$5*P$4+P$6</f>
        <v>-7.971</v>
      </c>
      <c r="Q88" s="7"/>
      <c r="R88" s="14">
        <f>-Wing_Layout!$Q12</f>
        <v>21</v>
      </c>
      <c r="S88">
        <f>S$6+0.4</f>
        <v>-5.6</v>
      </c>
      <c r="T88" s="14"/>
      <c r="U88" s="14">
        <f>-Wing_Layout!$Q12</f>
        <v>21</v>
      </c>
      <c r="V88">
        <f>V$6+0.4</f>
        <v>-2.6</v>
      </c>
      <c r="W88" s="7"/>
      <c r="X88" s="14">
        <f>-Wing_Layout!$Q12</f>
        <v>21</v>
      </c>
      <c r="Y88">
        <f>Y$6+0.4</f>
        <v>0.4</v>
      </c>
      <c r="Z88" s="14"/>
      <c r="AA88" s="14">
        <f>-Wing_Layout!$Q12</f>
        <v>21</v>
      </c>
      <c r="AB88">
        <f>AB$6+0.4</f>
        <v>3.4</v>
      </c>
      <c r="AC88" s="7"/>
      <c r="AD88" s="14">
        <f>-Wing_Layout!$Q12</f>
        <v>21</v>
      </c>
      <c r="AE88">
        <f>AE$6+0.4</f>
        <v>6.4</v>
      </c>
      <c r="AF88" s="14"/>
      <c r="AG88" s="14">
        <f>-Wing_Layout!$Q12</f>
        <v>21</v>
      </c>
      <c r="AH88">
        <f>AH$6+0.4</f>
        <v>9.4</v>
      </c>
      <c r="AI88" s="7"/>
      <c r="AJ88" s="14">
        <f>-Wing_Layout!$Q12</f>
        <v>21</v>
      </c>
      <c r="AK88">
        <f>AK$6+0.4</f>
        <v>12.4</v>
      </c>
      <c r="AL88" s="14"/>
      <c r="AM88" s="14"/>
      <c r="AN88" s="14"/>
      <c r="AO88" s="7"/>
      <c r="AP88" s="7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</row>
    <row r="89" spans="5:62" ht="12.75">
      <c r="E89" s="7"/>
      <c r="F89" s="7"/>
      <c r="G89" s="7"/>
      <c r="H89" s="14"/>
      <c r="I89">
        <f>R103-1</f>
        <v>30</v>
      </c>
      <c r="J89">
        <f>0.015*J$5*J$4+J$6</f>
        <v>-14.235</v>
      </c>
      <c r="L89">
        <f>U103-0.8</f>
        <v>30.2</v>
      </c>
      <c r="M89">
        <f>0.015*M$5*M$4+M$6</f>
        <v>-11.439</v>
      </c>
      <c r="O89">
        <f>X103-0.8</f>
        <v>30.2</v>
      </c>
      <c r="P89">
        <f>0.015*P$5*P$4+P$6</f>
        <v>-8.559</v>
      </c>
      <c r="Q89" s="7"/>
      <c r="R89" s="14">
        <f>-Wing_Layout!$R12</f>
        <v>31</v>
      </c>
      <c r="S89">
        <f>S$6</f>
        <v>-6</v>
      </c>
      <c r="T89" s="14"/>
      <c r="U89" s="14">
        <f>-Wing_Layout!$R12</f>
        <v>31</v>
      </c>
      <c r="V89">
        <f>V$6</f>
        <v>-3</v>
      </c>
      <c r="W89" s="7"/>
      <c r="X89" s="14">
        <f>-Wing_Layout!$R12</f>
        <v>31</v>
      </c>
      <c r="Y89">
        <f>Y$6</f>
        <v>0</v>
      </c>
      <c r="Z89" s="14"/>
      <c r="AA89" s="14">
        <f>-Wing_Layout!$R12</f>
        <v>31</v>
      </c>
      <c r="AB89">
        <f>AB$6</f>
        <v>3</v>
      </c>
      <c r="AC89" s="7"/>
      <c r="AD89" s="14">
        <f>-Wing_Layout!$R12</f>
        <v>31</v>
      </c>
      <c r="AE89">
        <f>AE$6</f>
        <v>6</v>
      </c>
      <c r="AF89" s="14"/>
      <c r="AG89" s="14">
        <f>-Wing_Layout!$R12</f>
        <v>31</v>
      </c>
      <c r="AH89">
        <f>AH$6</f>
        <v>9</v>
      </c>
      <c r="AI89" s="7"/>
      <c r="AJ89" s="14">
        <f>-Wing_Layout!$R12</f>
        <v>31</v>
      </c>
      <c r="AK89">
        <f>AK$6</f>
        <v>12</v>
      </c>
      <c r="AL89" s="14"/>
      <c r="AM89" s="14"/>
      <c r="AN89" s="14"/>
      <c r="AO89" s="7"/>
      <c r="AP89" s="7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</row>
    <row r="90" spans="5:62" ht="12.75">
      <c r="E90" s="7"/>
      <c r="F90" s="7"/>
      <c r="G90" s="7"/>
      <c r="H90" s="14"/>
      <c r="I90">
        <f>I89</f>
        <v>30</v>
      </c>
      <c r="J90">
        <f>-0.015*J$5*J$4+J$6</f>
        <v>-15.765</v>
      </c>
      <c r="L90">
        <f>L89</f>
        <v>30.2</v>
      </c>
      <c r="M90">
        <f>-0.015*M$5*M$4+M$6</f>
        <v>-12.561</v>
      </c>
      <c r="O90">
        <f>O89</f>
        <v>30.2</v>
      </c>
      <c r="P90">
        <f>-0.015*P$5*P$4+P$6</f>
        <v>-9.441</v>
      </c>
      <c r="Q90" s="7"/>
      <c r="R90" s="14">
        <f>AVERAGE(R88:R89)</f>
        <v>26</v>
      </c>
      <c r="S90" s="14">
        <f>AVERAGE(S88:S89)</f>
        <v>-5.8</v>
      </c>
      <c r="T90" s="14"/>
      <c r="U90" s="14">
        <f>AVERAGE(U88:U89)</f>
        <v>26</v>
      </c>
      <c r="V90" s="14">
        <f>AVERAGE(V88:V89)</f>
        <v>-2.8</v>
      </c>
      <c r="W90" s="7"/>
      <c r="X90" s="14">
        <f>AVERAGE(X88:X89)</f>
        <v>26</v>
      </c>
      <c r="Y90" s="14">
        <f>AVERAGE(Y88:Y89)</f>
        <v>0.2</v>
      </c>
      <c r="Z90" s="14"/>
      <c r="AA90" s="14">
        <f>AVERAGE(AA88:AA89)</f>
        <v>26</v>
      </c>
      <c r="AB90" s="14">
        <f>AVERAGE(AB88:AB89)</f>
        <v>3.2</v>
      </c>
      <c r="AC90" s="7"/>
      <c r="AD90" s="14">
        <f>AVERAGE(AD88:AD89)</f>
        <v>26</v>
      </c>
      <c r="AE90" s="14">
        <f>AVERAGE(AE88:AE89)</f>
        <v>6.2</v>
      </c>
      <c r="AF90" s="14"/>
      <c r="AG90" s="14">
        <f>AVERAGE(AG88:AG89)</f>
        <v>26</v>
      </c>
      <c r="AH90" s="14">
        <f>AVERAGE(AH88:AH89)</f>
        <v>9.2</v>
      </c>
      <c r="AI90" s="7"/>
      <c r="AJ90" s="14">
        <f>AVERAGE(AJ88:AJ89)</f>
        <v>26</v>
      </c>
      <c r="AK90" s="14">
        <f>AVERAGE(AK88:AK89)</f>
        <v>12.2</v>
      </c>
      <c r="AL90" s="14"/>
      <c r="AM90" s="14"/>
      <c r="AN90" s="14"/>
      <c r="AO90" s="7"/>
      <c r="AP90" s="7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</row>
    <row r="91" spans="5:62" ht="12.75">
      <c r="E91" s="14"/>
      <c r="F91" s="14"/>
      <c r="G91" s="14"/>
      <c r="H91" s="14"/>
      <c r="I91">
        <f>I88</f>
        <v>27</v>
      </c>
      <c r="J91">
        <f>-0.02*J$5*J$4+J$6</f>
        <v>-16.02</v>
      </c>
      <c r="L91">
        <f>L88</f>
        <v>26.8</v>
      </c>
      <c r="M91">
        <f>-0.02*M$5*M$4+M$6</f>
        <v>-12.748</v>
      </c>
      <c r="O91">
        <f>O88</f>
        <v>26.8</v>
      </c>
      <c r="P91">
        <f>-0.02*P$5*P$4+P$6</f>
        <v>-9.588000000000001</v>
      </c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</row>
    <row r="92" spans="8:62" ht="12.75">
      <c r="H92" s="14"/>
      <c r="I92">
        <f>I88</f>
        <v>27</v>
      </c>
      <c r="J92">
        <f>J88</f>
        <v>-13.368</v>
      </c>
      <c r="L92">
        <f>L88</f>
        <v>26.8</v>
      </c>
      <c r="M92">
        <f>M88</f>
        <v>-10.7658</v>
      </c>
      <c r="O92">
        <f>O88</f>
        <v>26.8</v>
      </c>
      <c r="P92">
        <f>P88</f>
        <v>-7.971</v>
      </c>
      <c r="Q92" s="14"/>
      <c r="R92">
        <f>R46</f>
        <v>12.8</v>
      </c>
      <c r="S92" s="14">
        <f>S6+Wing_Layout!$J4+Wing_Layout!$J5</f>
        <v>-5.31</v>
      </c>
      <c r="T92" s="14"/>
      <c r="U92">
        <f>U46</f>
        <v>13.6</v>
      </c>
      <c r="V92" s="14">
        <f>V6+Wing_Layout!$J4+Wing_Layout!$J5</f>
        <v>-2.31</v>
      </c>
      <c r="W92" s="14"/>
      <c r="X92">
        <f>X46</f>
        <v>14.4</v>
      </c>
      <c r="Y92" s="14">
        <f>Y6+Wing_Layout!$J4+Wing_Layout!$J5</f>
        <v>0.69</v>
      </c>
      <c r="Z92" s="14"/>
      <c r="AA92">
        <f>AA46</f>
        <v>15.2</v>
      </c>
      <c r="AB92" s="14">
        <f>AB6+Wing_Layout!$J4+Wing_Layout!$J5</f>
        <v>3.69</v>
      </c>
      <c r="AC92" s="14"/>
      <c r="AD92">
        <f>AD46</f>
        <v>16</v>
      </c>
      <c r="AE92" s="14">
        <f>AE6+Wing_Layout!$J4+Wing_Layout!$J5</f>
        <v>6.69</v>
      </c>
      <c r="AF92" s="14"/>
      <c r="AG92">
        <f>AG46</f>
        <v>17.2</v>
      </c>
      <c r="AH92" s="14">
        <f>AH6+Wing_Layout!$J4+Wing_Layout!$J5</f>
        <v>9.69</v>
      </c>
      <c r="AI92" s="14"/>
      <c r="AJ92">
        <f>AJ46</f>
        <v>19.1</v>
      </c>
      <c r="AK92" s="14">
        <f>AK6+Wing_Layout!$J4+Wing_Layout!$J5</f>
        <v>12.69</v>
      </c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</row>
    <row r="93" spans="8:62" ht="12.75">
      <c r="H93" s="14"/>
      <c r="Q93" s="14"/>
      <c r="R93" s="14">
        <f>R92+Wing_Layout!$I12</f>
        <v>15.345500000000001</v>
      </c>
      <c r="S93" s="14">
        <f>S92</f>
        <v>-5.31</v>
      </c>
      <c r="T93" s="14"/>
      <c r="U93" s="14">
        <f>U92+Wing_Layout!$I13</f>
        <v>16.0495</v>
      </c>
      <c r="V93" s="14">
        <f>V92</f>
        <v>-2.31</v>
      </c>
      <c r="W93" s="14"/>
      <c r="X93" s="14">
        <f>X92+Wing_Layout!$I14</f>
        <v>16.7295</v>
      </c>
      <c r="Y93" s="14">
        <f>Y92</f>
        <v>0.69</v>
      </c>
      <c r="Z93" s="14"/>
      <c r="AA93" s="14">
        <f>AA92+Wing_Layout!$I15</f>
        <v>17.3855</v>
      </c>
      <c r="AB93" s="14">
        <f>AB92</f>
        <v>3.69</v>
      </c>
      <c r="AC93" s="14"/>
      <c r="AD93" s="14">
        <f>AD92+Wing_Layout!$I16</f>
        <v>18.0175</v>
      </c>
      <c r="AE93" s="14">
        <f>AE92</f>
        <v>6.69</v>
      </c>
      <c r="AF93" s="14"/>
      <c r="AG93" s="14">
        <f>AG92+Wing_Layout!$I17</f>
        <v>19.034499999999998</v>
      </c>
      <c r="AH93" s="14">
        <f>AH92</f>
        <v>9.69</v>
      </c>
      <c r="AI93" s="14"/>
      <c r="AJ93" s="14">
        <f>AJ92+Wing_Layout!$I18</f>
        <v>20.7395</v>
      </c>
      <c r="AK93" s="14">
        <f>AK92</f>
        <v>12.69</v>
      </c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</row>
    <row r="94" spans="8:62" ht="12.75">
      <c r="H94" s="14"/>
      <c r="I94">
        <f>R102+1</f>
        <v>22</v>
      </c>
      <c r="J94">
        <f>0.05*J$5*J$4+J$6</f>
        <v>-12.45</v>
      </c>
      <c r="L94">
        <f>U102+0.8</f>
        <v>21.8</v>
      </c>
      <c r="M94">
        <f>0.053*M$5*M$4+M$6</f>
        <v>-10.0178</v>
      </c>
      <c r="O94">
        <f>X102+0.8</f>
        <v>21.8</v>
      </c>
      <c r="P94">
        <f>0.055*P$5*P$4+P$6</f>
        <v>-7.383</v>
      </c>
      <c r="Q94" s="14"/>
      <c r="R94" s="14">
        <f>R93</f>
        <v>15.345500000000001</v>
      </c>
      <c r="S94" s="14">
        <f>S6-Wing_Layout!$J4+Wing_Layout!$J5</f>
        <v>-6.03</v>
      </c>
      <c r="T94" s="14"/>
      <c r="U94" s="14">
        <f>U93</f>
        <v>16.0495</v>
      </c>
      <c r="V94" s="14">
        <f>V6-Wing_Layout!$J4+Wing_Layout!$J5</f>
        <v>-3.03</v>
      </c>
      <c r="W94" s="14"/>
      <c r="X94" s="14">
        <f>X93</f>
        <v>16.7295</v>
      </c>
      <c r="Y94" s="14">
        <f>Y6-Wing_Layout!$J4+Wing_Layout!$J5</f>
        <v>-0.02999999999999997</v>
      </c>
      <c r="Z94" s="14"/>
      <c r="AA94" s="14">
        <f>AA93</f>
        <v>17.3855</v>
      </c>
      <c r="AB94" s="14">
        <f>AB6-Wing_Layout!$J4+Wing_Layout!$J5</f>
        <v>2.97</v>
      </c>
      <c r="AC94" s="14"/>
      <c r="AD94" s="14">
        <f>AD93</f>
        <v>18.0175</v>
      </c>
      <c r="AE94" s="14">
        <f>AE6-Wing_Layout!$J4+Wing_Layout!$J5</f>
        <v>5.97</v>
      </c>
      <c r="AF94" s="14"/>
      <c r="AG94" s="14">
        <f>AG93</f>
        <v>19.034499999999998</v>
      </c>
      <c r="AH94" s="14">
        <f>AH6-Wing_Layout!$J4+Wing_Layout!$J5</f>
        <v>8.97</v>
      </c>
      <c r="AI94" s="14"/>
      <c r="AJ94" s="14">
        <f>AJ93</f>
        <v>20.7395</v>
      </c>
      <c r="AK94" s="14">
        <f>AK6-Wing_Layout!$J4+Wing_Layout!$J5</f>
        <v>11.97</v>
      </c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</row>
    <row r="95" spans="9:37" ht="12.75">
      <c r="I95">
        <f>R104-1</f>
        <v>25</v>
      </c>
      <c r="J95">
        <f>0.04*J$5*J$4+J$6</f>
        <v>-12.96</v>
      </c>
      <c r="L95">
        <f>U104-0.8</f>
        <v>25.2</v>
      </c>
      <c r="M95">
        <f>0.043*M$5*M$4+M$6</f>
        <v>-10.3918</v>
      </c>
      <c r="O95">
        <f>X104-0.8</f>
        <v>25.2</v>
      </c>
      <c r="P95">
        <f>0.045*P$5*P$4+P$6</f>
        <v>-7.677</v>
      </c>
      <c r="Q95" s="14"/>
      <c r="R95" s="14">
        <f>R92</f>
        <v>12.8</v>
      </c>
      <c r="S95" s="14">
        <f>S94</f>
        <v>-6.03</v>
      </c>
      <c r="T95" s="14"/>
      <c r="U95" s="14">
        <f>U92</f>
        <v>13.6</v>
      </c>
      <c r="V95" s="14">
        <f>V94</f>
        <v>-3.03</v>
      </c>
      <c r="W95" s="14"/>
      <c r="X95" s="14">
        <f>X92</f>
        <v>14.4</v>
      </c>
      <c r="Y95" s="14">
        <f>Y94</f>
        <v>-0.02999999999999997</v>
      </c>
      <c r="Z95" s="14"/>
      <c r="AA95" s="14">
        <f>AA92</f>
        <v>15.2</v>
      </c>
      <c r="AB95" s="14">
        <f>AB94</f>
        <v>2.97</v>
      </c>
      <c r="AC95" s="14"/>
      <c r="AD95" s="14">
        <f>AD92</f>
        <v>16</v>
      </c>
      <c r="AE95" s="14">
        <f>AE94</f>
        <v>5.97</v>
      </c>
      <c r="AF95" s="14"/>
      <c r="AG95" s="14">
        <f>AG92</f>
        <v>17.2</v>
      </c>
      <c r="AH95" s="14">
        <f>AH94</f>
        <v>8.97</v>
      </c>
      <c r="AI95" s="14"/>
      <c r="AJ95" s="14">
        <f>AJ92</f>
        <v>19.1</v>
      </c>
      <c r="AK95" s="14">
        <f>AK94</f>
        <v>11.97</v>
      </c>
    </row>
    <row r="96" spans="9:37" ht="12.75">
      <c r="I96">
        <f>I95</f>
        <v>25</v>
      </c>
      <c r="J96">
        <f>-0.02*J$5*J$4+J$6</f>
        <v>-16.02</v>
      </c>
      <c r="L96">
        <f>L95</f>
        <v>25.2</v>
      </c>
      <c r="M96">
        <f>-0.02*M$5*M$4+M$6</f>
        <v>-12.748</v>
      </c>
      <c r="O96">
        <f>O95</f>
        <v>25.2</v>
      </c>
      <c r="P96">
        <f>-0.02*P$5*P$4+P$6</f>
        <v>-9.588000000000001</v>
      </c>
      <c r="R96">
        <f>R92</f>
        <v>12.8</v>
      </c>
      <c r="S96">
        <f>S92</f>
        <v>-5.31</v>
      </c>
      <c r="U96">
        <f>U92</f>
        <v>13.6</v>
      </c>
      <c r="V96">
        <f>V92</f>
        <v>-2.31</v>
      </c>
      <c r="X96">
        <f>X92</f>
        <v>14.4</v>
      </c>
      <c r="Y96">
        <f>Y92</f>
        <v>0.69</v>
      </c>
      <c r="AA96">
        <f>AA92</f>
        <v>15.2</v>
      </c>
      <c r="AB96">
        <f>AB92</f>
        <v>3.69</v>
      </c>
      <c r="AD96">
        <f>AD92</f>
        <v>16</v>
      </c>
      <c r="AE96">
        <f>AE92</f>
        <v>6.69</v>
      </c>
      <c r="AG96">
        <f>AG92</f>
        <v>17.2</v>
      </c>
      <c r="AH96">
        <f>AH92</f>
        <v>9.69</v>
      </c>
      <c r="AJ96">
        <f>AJ92</f>
        <v>19.1</v>
      </c>
      <c r="AK96">
        <f>AK92</f>
        <v>12.69</v>
      </c>
    </row>
    <row r="97" spans="9:16" ht="12.75">
      <c r="I97">
        <f>I94</f>
        <v>22</v>
      </c>
      <c r="J97">
        <f>-0.02*J$5*J$4+J$6</f>
        <v>-16.02</v>
      </c>
      <c r="L97">
        <f>L94</f>
        <v>21.8</v>
      </c>
      <c r="M97">
        <f>-0.02*M$5*M$4+M$6</f>
        <v>-12.748</v>
      </c>
      <c r="O97">
        <f>O94</f>
        <v>21.8</v>
      </c>
      <c r="P97">
        <f>-0.02*P$5*P$4+P$6</f>
        <v>-9.588000000000001</v>
      </c>
    </row>
    <row r="98" spans="9:31" ht="12.75">
      <c r="I98">
        <f>I94</f>
        <v>22</v>
      </c>
      <c r="J98">
        <f>J94</f>
        <v>-12.45</v>
      </c>
      <c r="L98">
        <f>L94</f>
        <v>21.8</v>
      </c>
      <c r="M98">
        <f>M94</f>
        <v>-10.0178</v>
      </c>
      <c r="O98">
        <f>O94</f>
        <v>21.8</v>
      </c>
      <c r="P98">
        <f>P94</f>
        <v>-7.383</v>
      </c>
      <c r="R98">
        <f>-Wing_Layout!$G12-Wing_Layout!$J12</f>
        <v>34.15714285714285</v>
      </c>
      <c r="S98">
        <f>S$6+0.5</f>
        <v>-5.5</v>
      </c>
      <c r="U98">
        <f>-Wing_Layout!$G13-Wing_Layout!$J13</f>
        <v>34.135714285714286</v>
      </c>
      <c r="V98">
        <f>V$6+0.5</f>
        <v>-2.5</v>
      </c>
      <c r="X98">
        <f>-Wing_Layout!$G14-Wing_Layout!$J14</f>
        <v>34.114285714285714</v>
      </c>
      <c r="Y98">
        <f>Y$6+0.5</f>
        <v>0.5</v>
      </c>
      <c r="AA98">
        <f>-Wing_Layout!$G15-Wing_Layout!$J15</f>
        <v>34.09285714285715</v>
      </c>
      <c r="AB98">
        <f>AB$6+0.5</f>
        <v>3.5</v>
      </c>
      <c r="AD98">
        <f>-Wing_Layout!$G16-Wing_Layout!$J16</f>
        <v>34.07142857142857</v>
      </c>
      <c r="AE98">
        <f>AE$6+0.5</f>
        <v>6.5</v>
      </c>
    </row>
    <row r="99" spans="18:31" ht="12.75">
      <c r="R99">
        <f>R98</f>
        <v>34.15714285714285</v>
      </c>
      <c r="S99">
        <f>S$6-1</f>
        <v>-7</v>
      </c>
      <c r="U99">
        <f>U98</f>
        <v>34.135714285714286</v>
      </c>
      <c r="V99">
        <f>V$6-1</f>
        <v>-4</v>
      </c>
      <c r="X99">
        <f>X98</f>
        <v>34.114285714285714</v>
      </c>
      <c r="Y99">
        <f>Y$6-1</f>
        <v>-1</v>
      </c>
      <c r="AA99">
        <f>AA98</f>
        <v>34.09285714285715</v>
      </c>
      <c r="AB99">
        <f>AB$6-1</f>
        <v>2</v>
      </c>
      <c r="AD99">
        <f>AD98</f>
        <v>34.07142857142857</v>
      </c>
      <c r="AE99">
        <f>AE$6-1</f>
        <v>5</v>
      </c>
    </row>
    <row r="100" spans="12:16" ht="12.75">
      <c r="L100">
        <f>U107+1</f>
        <v>10.1655</v>
      </c>
      <c r="M100">
        <f>0.05*M$5*M$4+M$6</f>
        <v>-10.129999999999999</v>
      </c>
      <c r="O100">
        <f>X107+1</f>
        <v>14.6175</v>
      </c>
      <c r="P100">
        <f>0.05*P$5*P$4+P$6</f>
        <v>-7.529999999999999</v>
      </c>
    </row>
    <row r="101" spans="12:16" ht="12.75">
      <c r="L101">
        <f>U107+7</f>
        <v>16.1655</v>
      </c>
      <c r="M101">
        <f>0.061*M$5*M$4+M$6</f>
        <v>-9.7186</v>
      </c>
      <c r="O101">
        <f>X88-0.8</f>
        <v>20.2</v>
      </c>
      <c r="P101">
        <f>0.058*P$5*P$4+P$6</f>
        <v>-7.2948</v>
      </c>
    </row>
    <row r="102" spans="12:25" ht="12.75">
      <c r="L102">
        <f>U88-0.8</f>
        <v>20.2</v>
      </c>
      <c r="M102">
        <f>0.058*M$5*M$4+M$6</f>
        <v>-9.8308</v>
      </c>
      <c r="O102">
        <f>O101</f>
        <v>20.2</v>
      </c>
      <c r="P102">
        <f>-0.016*P$5*P$4+P$6</f>
        <v>-9.4704</v>
      </c>
      <c r="R102" s="18">
        <f>-Wing_Layout!$Q12</f>
        <v>21</v>
      </c>
      <c r="S102" s="19">
        <f>J$6+0.4</f>
        <v>-14.6</v>
      </c>
      <c r="T102" s="4"/>
      <c r="U102" s="19">
        <f>-Wing_Layout!$Q12</f>
        <v>21</v>
      </c>
      <c r="V102" s="19">
        <f>M$6+0.4</f>
        <v>-11.6</v>
      </c>
      <c r="W102" s="19"/>
      <c r="X102" s="19">
        <f>-Wing_Layout!$Q12</f>
        <v>21</v>
      </c>
      <c r="Y102" s="20">
        <f>P$6+0.4</f>
        <v>-8.6</v>
      </c>
    </row>
    <row r="103" spans="12:25" ht="12.75">
      <c r="L103">
        <f>L102</f>
        <v>20.2</v>
      </c>
      <c r="M103">
        <f>-0.016*M$5*M$4+M$6</f>
        <v>-12.5984</v>
      </c>
      <c r="O103">
        <f>O100</f>
        <v>14.6175</v>
      </c>
      <c r="P103">
        <f>-0.009*P$5*P$4+P$6</f>
        <v>-9.2646</v>
      </c>
      <c r="R103" s="21">
        <f>-Wing_Layout!$R12</f>
        <v>31</v>
      </c>
      <c r="S103" s="14">
        <f>J$6</f>
        <v>-15</v>
      </c>
      <c r="T103" s="7"/>
      <c r="U103" s="14">
        <f>-Wing_Layout!$R12</f>
        <v>31</v>
      </c>
      <c r="V103" s="14">
        <f>M$6</f>
        <v>-12</v>
      </c>
      <c r="W103" s="14"/>
      <c r="X103" s="14">
        <f>-Wing_Layout!$R12</f>
        <v>31</v>
      </c>
      <c r="Y103" s="22">
        <f>P$6</f>
        <v>-9</v>
      </c>
    </row>
    <row r="104" spans="12:25" ht="12.75">
      <c r="L104">
        <f>L100</f>
        <v>10.1655</v>
      </c>
      <c r="M104">
        <f>-0.009*M$5*M$4+M$6</f>
        <v>-12.3366</v>
      </c>
      <c r="O104">
        <f>O100</f>
        <v>14.6175</v>
      </c>
      <c r="P104">
        <f>P100</f>
        <v>-7.529999999999999</v>
      </c>
      <c r="R104" s="21">
        <f>AVERAGE(R102:R103)</f>
        <v>26</v>
      </c>
      <c r="S104" s="14">
        <f>AVERAGE(S102:S103)</f>
        <v>-14.8</v>
      </c>
      <c r="T104" s="7"/>
      <c r="U104" s="14">
        <f>AVERAGE(U102:U103)</f>
        <v>26</v>
      </c>
      <c r="V104" s="14">
        <f>AVERAGE(V102:V103)</f>
        <v>-11.8</v>
      </c>
      <c r="W104" s="14"/>
      <c r="X104" s="14">
        <f>AVERAGE(X102:X103)</f>
        <v>26</v>
      </c>
      <c r="Y104" s="22">
        <f>AVERAGE(Y102:Y103)</f>
        <v>-8.8</v>
      </c>
    </row>
    <row r="105" spans="12:25" ht="12.75">
      <c r="L105">
        <f>L100</f>
        <v>10.1655</v>
      </c>
      <c r="M105">
        <f>M100</f>
        <v>-10.129999999999999</v>
      </c>
      <c r="R105" s="21"/>
      <c r="S105" s="14"/>
      <c r="T105" s="14"/>
      <c r="U105" s="14"/>
      <c r="V105" s="14"/>
      <c r="W105" s="14"/>
      <c r="X105" s="14"/>
      <c r="Y105" s="22"/>
    </row>
    <row r="106" spans="18:25" ht="12.75">
      <c r="R106" s="21">
        <f>I46</f>
        <v>1.2</v>
      </c>
      <c r="S106" s="14">
        <f>J6+Wing_Layout!$J4+Wing_Layout!$J5</f>
        <v>-14.31</v>
      </c>
      <c r="T106" s="14"/>
      <c r="U106" s="14">
        <f>L46</f>
        <v>6.5</v>
      </c>
      <c r="V106" s="14">
        <f>M6+Wing_Layout!$J4+Wing_Layout!$J5</f>
        <v>-11.31</v>
      </c>
      <c r="W106" s="14"/>
      <c r="X106" s="14">
        <f>O46</f>
        <v>11</v>
      </c>
      <c r="Y106" s="22">
        <f>P6+Wing_Layout!$J4+Wing_Layout!$J5</f>
        <v>-8.31</v>
      </c>
    </row>
    <row r="107" spans="18:25" ht="12.75">
      <c r="R107" s="21">
        <f>R106+Wing_Layout!$I9</f>
        <v>3.8895</v>
      </c>
      <c r="S107" s="14">
        <f>S106</f>
        <v>-14.31</v>
      </c>
      <c r="T107" s="14"/>
      <c r="U107" s="14">
        <f>U106+Wing_Layout!$I10</f>
        <v>9.1655</v>
      </c>
      <c r="V107" s="14">
        <f>V106</f>
        <v>-11.31</v>
      </c>
      <c r="W107" s="14"/>
      <c r="X107" s="14">
        <f>X106+Wing_Layout!$I11</f>
        <v>13.6175</v>
      </c>
      <c r="Y107" s="22">
        <f>Y106</f>
        <v>-8.31</v>
      </c>
    </row>
    <row r="108" spans="18:25" ht="12.75">
      <c r="R108" s="21">
        <f>R107</f>
        <v>3.8895</v>
      </c>
      <c r="S108" s="14">
        <f>J6-Wing_Layout!$J4+Wing_Layout!$J5</f>
        <v>-15.03</v>
      </c>
      <c r="T108" s="14"/>
      <c r="U108" s="14">
        <f>U107</f>
        <v>9.1655</v>
      </c>
      <c r="V108" s="14">
        <f>M6-Wing_Layout!$J4+Wing_Layout!$J5</f>
        <v>-12.03</v>
      </c>
      <c r="W108" s="14"/>
      <c r="X108" s="14">
        <f>X107</f>
        <v>13.6175</v>
      </c>
      <c r="Y108" s="22">
        <f>P6-Wing_Layout!$J4+Wing_Layout!$J5</f>
        <v>-9.03</v>
      </c>
    </row>
    <row r="109" spans="18:25" ht="12.75">
      <c r="R109" s="21">
        <f>R106</f>
        <v>1.2</v>
      </c>
      <c r="S109" s="14">
        <f>S108</f>
        <v>-15.03</v>
      </c>
      <c r="T109" s="14"/>
      <c r="U109" s="14">
        <f>U106</f>
        <v>6.5</v>
      </c>
      <c r="V109" s="14">
        <f>V108</f>
        <v>-12.03</v>
      </c>
      <c r="W109" s="14"/>
      <c r="X109" s="14">
        <f>X106</f>
        <v>11</v>
      </c>
      <c r="Y109" s="22">
        <f>Y108</f>
        <v>-9.03</v>
      </c>
    </row>
    <row r="110" spans="18:25" ht="12.75">
      <c r="R110" s="23">
        <f>R106</f>
        <v>1.2</v>
      </c>
      <c r="S110" s="24">
        <f>S106</f>
        <v>-14.31</v>
      </c>
      <c r="T110" s="24"/>
      <c r="U110" s="24">
        <f>U106</f>
        <v>6.5</v>
      </c>
      <c r="V110" s="24">
        <f>V106</f>
        <v>-11.31</v>
      </c>
      <c r="W110" s="24"/>
      <c r="X110" s="24">
        <f>X106</f>
        <v>11</v>
      </c>
      <c r="Y110" s="25">
        <f>Y106</f>
        <v>-8.31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10"/>
  <sheetViews>
    <sheetView workbookViewId="0" topLeftCell="F52">
      <selection activeCell="H63" sqref="H63"/>
    </sheetView>
  </sheetViews>
  <sheetFormatPr defaultColWidth="9.140625" defaultRowHeight="12.75"/>
  <sheetData>
    <row r="1" ht="12.75">
      <c r="A1" t="s">
        <v>11</v>
      </c>
    </row>
    <row r="3" spans="9:36" ht="12.75">
      <c r="I3" t="s">
        <v>18</v>
      </c>
      <c r="L3" t="s">
        <v>19</v>
      </c>
      <c r="O3" t="s">
        <v>20</v>
      </c>
      <c r="R3" t="s">
        <v>21</v>
      </c>
      <c r="U3" t="s">
        <v>22</v>
      </c>
      <c r="X3" t="s">
        <v>29</v>
      </c>
      <c r="AA3" t="s">
        <v>31</v>
      </c>
      <c r="AD3" t="s">
        <v>32</v>
      </c>
      <c r="AG3" t="s">
        <v>33</v>
      </c>
      <c r="AJ3" t="s">
        <v>34</v>
      </c>
    </row>
    <row r="4" spans="9:37" ht="12.75">
      <c r="I4" t="s">
        <v>12</v>
      </c>
      <c r="J4">
        <f>Wing_Layout!E9</f>
        <v>42.5</v>
      </c>
      <c r="L4" t="s">
        <v>12</v>
      </c>
      <c r="M4">
        <f>Wing_Layout!E10</f>
        <v>34</v>
      </c>
      <c r="O4" t="s">
        <v>12</v>
      </c>
      <c r="P4">
        <f>Wing_Layout!E11</f>
        <v>28</v>
      </c>
      <c r="R4" t="s">
        <v>12</v>
      </c>
      <c r="S4">
        <f>Wing_Layout!E12</f>
        <v>26</v>
      </c>
      <c r="U4" t="s">
        <v>12</v>
      </c>
      <c r="V4">
        <f>Wing_Layout!$E13</f>
        <v>25</v>
      </c>
      <c r="X4" t="s">
        <v>12</v>
      </c>
      <c r="Y4">
        <f>Wing_Layout!$E14</f>
        <v>24</v>
      </c>
      <c r="AA4" t="s">
        <v>12</v>
      </c>
      <c r="AB4">
        <f>Wing_Layout!$E15</f>
        <v>23</v>
      </c>
      <c r="AD4" t="s">
        <v>12</v>
      </c>
      <c r="AE4">
        <f>Wing_Layout!$E16</f>
        <v>22</v>
      </c>
      <c r="AG4" t="s">
        <v>12</v>
      </c>
      <c r="AH4">
        <f>Wing_Layout!$E17</f>
        <v>20.5</v>
      </c>
      <c r="AJ4" t="s">
        <v>12</v>
      </c>
      <c r="AK4">
        <f>Wing_Layout!$E18</f>
        <v>18</v>
      </c>
    </row>
    <row r="5" spans="1:37" ht="12.75">
      <c r="A5">
        <v>1</v>
      </c>
      <c r="B5">
        <v>0.00251</v>
      </c>
      <c r="I5" t="s">
        <v>13</v>
      </c>
      <c r="J5">
        <v>1.2</v>
      </c>
      <c r="L5" t="s">
        <v>13</v>
      </c>
      <c r="M5">
        <v>1.1</v>
      </c>
      <c r="O5" t="s">
        <v>13</v>
      </c>
      <c r="P5">
        <v>1.05</v>
      </c>
      <c r="R5" t="s">
        <v>13</v>
      </c>
      <c r="S5">
        <v>1</v>
      </c>
      <c r="U5" t="s">
        <v>13</v>
      </c>
      <c r="V5">
        <v>1</v>
      </c>
      <c r="X5" t="s">
        <v>13</v>
      </c>
      <c r="Y5">
        <v>1</v>
      </c>
      <c r="AA5" t="s">
        <v>13</v>
      </c>
      <c r="AB5">
        <v>1</v>
      </c>
      <c r="AD5" t="s">
        <v>13</v>
      </c>
      <c r="AE5">
        <v>1</v>
      </c>
      <c r="AG5" t="s">
        <v>13</v>
      </c>
      <c r="AH5">
        <v>1</v>
      </c>
      <c r="AJ5" t="s">
        <v>13</v>
      </c>
      <c r="AK5">
        <v>1</v>
      </c>
    </row>
    <row r="6" spans="1:37" ht="12.75">
      <c r="A6">
        <v>0.93883</v>
      </c>
      <c r="B6">
        <v>0.00129</v>
      </c>
      <c r="I6" t="s">
        <v>14</v>
      </c>
      <c r="J6">
        <v>-7</v>
      </c>
      <c r="L6" t="s">
        <v>14</v>
      </c>
      <c r="M6">
        <v>0</v>
      </c>
      <c r="O6" t="s">
        <v>14</v>
      </c>
      <c r="P6">
        <v>5</v>
      </c>
      <c r="R6" t="s">
        <v>14</v>
      </c>
      <c r="S6">
        <v>10</v>
      </c>
      <c r="U6" t="s">
        <v>14</v>
      </c>
      <c r="V6">
        <v>-5.5</v>
      </c>
      <c r="X6" t="s">
        <v>14</v>
      </c>
      <c r="Y6">
        <v>-2</v>
      </c>
      <c r="AA6" t="s">
        <v>14</v>
      </c>
      <c r="AB6">
        <v>1.5</v>
      </c>
      <c r="AD6" t="s">
        <v>14</v>
      </c>
      <c r="AE6">
        <v>5</v>
      </c>
      <c r="AG6" t="s">
        <v>14</v>
      </c>
      <c r="AH6">
        <v>8</v>
      </c>
      <c r="AJ6" t="s">
        <v>14</v>
      </c>
      <c r="AK6">
        <v>11</v>
      </c>
    </row>
    <row r="7" spans="1:37" ht="12.75">
      <c r="A7">
        <v>0.88908</v>
      </c>
      <c r="B7">
        <v>0.00134</v>
      </c>
      <c r="I7">
        <f>$A5*J$4-Wing_Layout!$F$9</f>
        <v>43.7</v>
      </c>
      <c r="J7">
        <f aca="true" t="shared" si="0" ref="J7:J38">$B5*J$5*J$4+J$6</f>
        <v>-6.87199</v>
      </c>
      <c r="L7">
        <f>$A5*M$4-Wing_Layout!$F$10</f>
        <v>40.5</v>
      </c>
      <c r="M7">
        <f aca="true" t="shared" si="1" ref="M7:M38">$B5*M$5*M$4+M$6</f>
        <v>0.09387400000000001</v>
      </c>
      <c r="O7">
        <f>$A5*P$4-Wing_Layout!$F$11</f>
        <v>39</v>
      </c>
      <c r="P7">
        <f aca="true" t="shared" si="2" ref="P7:P38">$B5*P$5*P$4+P$6</f>
        <v>5.073794</v>
      </c>
      <c r="R7">
        <f>$A5*S$4-Wing_Layout!$F$12</f>
        <v>38.8</v>
      </c>
      <c r="S7">
        <f aca="true" t="shared" si="3" ref="S7:S38">$B5*S$5*S$4+S$6</f>
        <v>10.06526</v>
      </c>
      <c r="U7">
        <f>$A5*V$4-Wing_Layout!$F$13</f>
        <v>38.6</v>
      </c>
      <c r="V7">
        <f aca="true" t="shared" si="4" ref="V7:V38">$B5*V$5*V$4+V$6</f>
        <v>-5.43725</v>
      </c>
      <c r="X7">
        <f>$A5*Y$4-Wing_Layout!$F$14</f>
        <v>38.4</v>
      </c>
      <c r="Y7">
        <f aca="true" t="shared" si="5" ref="Y7:Y38">$B5*Y$5*Y$4+Y$6</f>
        <v>-1.93976</v>
      </c>
      <c r="AA7">
        <f>$A5*AB$4-Wing_Layout!$F$15</f>
        <v>38.2</v>
      </c>
      <c r="AB7">
        <f aca="true" t="shared" si="6" ref="AB7:AB38">$B5*AB$5*AB$4+AB$6</f>
        <v>1.55773</v>
      </c>
      <c r="AD7">
        <f>$A5*AE$4-Wing_Layout!$F$16</f>
        <v>38</v>
      </c>
      <c r="AE7">
        <f aca="true" t="shared" si="7" ref="AE7:AE38">$B5*AE$5*AE$4+AE$6</f>
        <v>5.05522</v>
      </c>
      <c r="AG7">
        <f>$A5*AH$4-Wing_Layout!$F$17</f>
        <v>37.7</v>
      </c>
      <c r="AH7">
        <f aca="true" t="shared" si="8" ref="AH7:AH38">$B5*AH$5*AH$4+AH$6</f>
        <v>8.051455</v>
      </c>
      <c r="AJ7">
        <f>$A5*AK$4-Wing_Layout!$F$18</f>
        <v>37.1</v>
      </c>
      <c r="AK7">
        <f aca="true" t="shared" si="9" ref="AK7:AK38">$B5*AK$5*AK$4+AK$6</f>
        <v>11.04518</v>
      </c>
    </row>
    <row r="8" spans="1:37" ht="12.75">
      <c r="A8">
        <v>0.84892</v>
      </c>
      <c r="B8">
        <v>0.00255</v>
      </c>
      <c r="I8">
        <f>$A6*J$4-Wing_Layout!$F$9</f>
        <v>41.100275</v>
      </c>
      <c r="J8">
        <f t="shared" si="0"/>
        <v>-6.93421</v>
      </c>
      <c r="L8">
        <f>$A6*M$4-Wing_Layout!$F$10</f>
        <v>38.42022</v>
      </c>
      <c r="M8">
        <f t="shared" si="1"/>
        <v>0.048246000000000004</v>
      </c>
      <c r="O8">
        <f>$A6*P$4-Wing_Layout!$F$11</f>
        <v>37.28724</v>
      </c>
      <c r="P8">
        <f t="shared" si="2"/>
        <v>5.037926</v>
      </c>
      <c r="R8">
        <f>$A6*S$4-Wing_Layout!$F$12</f>
        <v>37.20958</v>
      </c>
      <c r="S8">
        <f t="shared" si="3"/>
        <v>10.03354</v>
      </c>
      <c r="U8">
        <f>$A6*V$4-Wing_Layout!$F$13</f>
        <v>37.070750000000004</v>
      </c>
      <c r="V8">
        <f t="shared" si="4"/>
        <v>-5.46775</v>
      </c>
      <c r="X8">
        <f>$A6*Y$4-Wing_Layout!$F$14</f>
        <v>36.93192</v>
      </c>
      <c r="Y8">
        <f t="shared" si="5"/>
        <v>-1.96904</v>
      </c>
      <c r="AA8">
        <f>$A6*AB$4-Wing_Layout!$F$15</f>
        <v>36.79309</v>
      </c>
      <c r="AB8">
        <f t="shared" si="6"/>
        <v>1.52967</v>
      </c>
      <c r="AD8">
        <f>$A6*AE$4-Wing_Layout!$F$16</f>
        <v>36.65426</v>
      </c>
      <c r="AE8">
        <f t="shared" si="7"/>
        <v>5.02838</v>
      </c>
      <c r="AG8">
        <f>$A6*AH$4-Wing_Layout!$F$17</f>
        <v>36.446015</v>
      </c>
      <c r="AH8">
        <f t="shared" si="8"/>
        <v>8.026445</v>
      </c>
      <c r="AJ8">
        <f>$A6*AK$4-Wing_Layout!$F$18</f>
        <v>35.998940000000005</v>
      </c>
      <c r="AK8">
        <f t="shared" si="9"/>
        <v>11.02322</v>
      </c>
    </row>
    <row r="9" spans="1:37" ht="12.75">
      <c r="A9">
        <v>0.81652</v>
      </c>
      <c r="B9">
        <v>0.00479</v>
      </c>
      <c r="I9">
        <f>$A7*J$4-Wing_Layout!$F$9</f>
        <v>38.9859</v>
      </c>
      <c r="J9">
        <f t="shared" si="0"/>
        <v>-6.93166</v>
      </c>
      <c r="L9">
        <f>$A7*M$4-Wing_Layout!$F$10</f>
        <v>36.728719999999996</v>
      </c>
      <c r="M9">
        <f t="shared" si="1"/>
        <v>0.05011600000000001</v>
      </c>
      <c r="O9">
        <f>$A7*P$4-Wing_Layout!$F$11</f>
        <v>35.894239999999996</v>
      </c>
      <c r="P9">
        <f t="shared" si="2"/>
        <v>5.039396</v>
      </c>
      <c r="R9">
        <f>$A7*S$4-Wing_Layout!$F$12</f>
        <v>35.91608</v>
      </c>
      <c r="S9">
        <f t="shared" si="3"/>
        <v>10.03484</v>
      </c>
      <c r="U9">
        <f>$A7*V$4-Wing_Layout!$F$13</f>
        <v>35.827</v>
      </c>
      <c r="V9">
        <f t="shared" si="4"/>
        <v>-5.4665</v>
      </c>
      <c r="X9">
        <f>$A7*Y$4-Wing_Layout!$F$14</f>
        <v>35.73792</v>
      </c>
      <c r="Y9">
        <f t="shared" si="5"/>
        <v>-1.96784</v>
      </c>
      <c r="AA9">
        <f>$A7*AB$4-Wing_Layout!$F$15</f>
        <v>35.64884</v>
      </c>
      <c r="AB9">
        <f t="shared" si="6"/>
        <v>1.53082</v>
      </c>
      <c r="AD9">
        <f>$A7*AE$4-Wing_Layout!$F$16</f>
        <v>35.55976</v>
      </c>
      <c r="AE9">
        <f t="shared" si="7"/>
        <v>5.02948</v>
      </c>
      <c r="AG9">
        <f>$A7*AH$4-Wing_Layout!$F$17</f>
        <v>35.426140000000004</v>
      </c>
      <c r="AH9">
        <f t="shared" si="8"/>
        <v>8.02747</v>
      </c>
      <c r="AJ9">
        <f>$A7*AK$4-Wing_Layout!$F$18</f>
        <v>35.103440000000006</v>
      </c>
      <c r="AK9">
        <f t="shared" si="9"/>
        <v>11.02412</v>
      </c>
    </row>
    <row r="10" spans="1:37" ht="12.75">
      <c r="A10">
        <v>0.79006</v>
      </c>
      <c r="B10">
        <v>0.00797</v>
      </c>
      <c r="I10">
        <f>$A8*J$4-Wing_Layout!$F$9</f>
        <v>37.2791</v>
      </c>
      <c r="J10">
        <f t="shared" si="0"/>
        <v>-6.86995</v>
      </c>
      <c r="L10">
        <f>$A8*M$4-Wing_Layout!$F$10</f>
        <v>35.36328</v>
      </c>
      <c r="M10">
        <f t="shared" si="1"/>
        <v>0.09537000000000002</v>
      </c>
      <c r="O10">
        <f>$A8*P$4-Wing_Layout!$F$11</f>
        <v>34.769760000000005</v>
      </c>
      <c r="P10">
        <f t="shared" si="2"/>
        <v>5.07497</v>
      </c>
      <c r="R10">
        <f>$A8*S$4-Wing_Layout!$F$12</f>
        <v>34.87192</v>
      </c>
      <c r="S10">
        <f t="shared" si="3"/>
        <v>10.0663</v>
      </c>
      <c r="U10">
        <f>$A8*V$4-Wing_Layout!$F$13</f>
        <v>34.823</v>
      </c>
      <c r="V10">
        <f t="shared" si="4"/>
        <v>-5.43625</v>
      </c>
      <c r="X10">
        <f>$A8*Y$4-Wing_Layout!$F$14</f>
        <v>34.77408</v>
      </c>
      <c r="Y10">
        <f t="shared" si="5"/>
        <v>-1.9388</v>
      </c>
      <c r="AA10">
        <f>$A8*AB$4-Wing_Layout!$F$15</f>
        <v>34.72516</v>
      </c>
      <c r="AB10">
        <f t="shared" si="6"/>
        <v>1.55865</v>
      </c>
      <c r="AD10">
        <f>$A8*AE$4-Wing_Layout!$F$16</f>
        <v>34.67624</v>
      </c>
      <c r="AE10">
        <f t="shared" si="7"/>
        <v>5.0561</v>
      </c>
      <c r="AG10">
        <f>$A8*AH$4-Wing_Layout!$F$17</f>
        <v>34.60286</v>
      </c>
      <c r="AH10">
        <f t="shared" si="8"/>
        <v>8.052275</v>
      </c>
      <c r="AJ10">
        <f>$A8*AK$4-Wing_Layout!$F$18</f>
        <v>34.38056</v>
      </c>
      <c r="AK10">
        <f t="shared" si="9"/>
        <v>11.0459</v>
      </c>
    </row>
    <row r="11" spans="1:37" ht="12.75">
      <c r="A11">
        <v>0.76771</v>
      </c>
      <c r="B11">
        <v>0.01194</v>
      </c>
      <c r="I11">
        <f>$A9*J$4-Wing_Layout!$F$9</f>
        <v>35.902100000000004</v>
      </c>
      <c r="J11">
        <f t="shared" si="0"/>
        <v>-6.75571</v>
      </c>
      <c r="L11">
        <f>$A9*M$4-Wing_Layout!$F$10</f>
        <v>34.26168</v>
      </c>
      <c r="M11">
        <f t="shared" si="1"/>
        <v>0.179146</v>
      </c>
      <c r="O11">
        <f>$A9*P$4-Wing_Layout!$F$11</f>
        <v>33.86256</v>
      </c>
      <c r="P11">
        <f t="shared" si="2"/>
        <v>5.140826</v>
      </c>
      <c r="R11">
        <f>$A9*S$4-Wing_Layout!$F$12</f>
        <v>34.029520000000005</v>
      </c>
      <c r="S11">
        <f t="shared" si="3"/>
        <v>10.12454</v>
      </c>
      <c r="U11">
        <f>$A9*V$4-Wing_Layout!$F$13</f>
        <v>34.013</v>
      </c>
      <c r="V11">
        <f t="shared" si="4"/>
        <v>-5.38025</v>
      </c>
      <c r="X11">
        <f>$A9*Y$4-Wing_Layout!$F$14</f>
        <v>33.99648</v>
      </c>
      <c r="Y11">
        <f t="shared" si="5"/>
        <v>-1.88504</v>
      </c>
      <c r="AA11">
        <f>$A9*AB$4-Wing_Layout!$F$15</f>
        <v>33.97996</v>
      </c>
      <c r="AB11">
        <f t="shared" si="6"/>
        <v>1.61017</v>
      </c>
      <c r="AD11">
        <f>$A9*AE$4-Wing_Layout!$F$16</f>
        <v>33.963440000000006</v>
      </c>
      <c r="AE11">
        <f t="shared" si="7"/>
        <v>5.10538</v>
      </c>
      <c r="AG11">
        <f>$A9*AH$4-Wing_Layout!$F$17</f>
        <v>33.93866</v>
      </c>
      <c r="AH11">
        <f t="shared" si="8"/>
        <v>8.098195</v>
      </c>
      <c r="AJ11">
        <f>$A9*AK$4-Wing_Layout!$F$18</f>
        <v>33.79736</v>
      </c>
      <c r="AK11">
        <f t="shared" si="9"/>
        <v>11.08622</v>
      </c>
    </row>
    <row r="12" spans="1:37" ht="12.75">
      <c r="A12">
        <v>0.74765</v>
      </c>
      <c r="B12">
        <v>0.01659</v>
      </c>
      <c r="I12">
        <f>$A10*J$4-Wing_Layout!$F$9</f>
        <v>34.777550000000005</v>
      </c>
      <c r="J12">
        <f t="shared" si="0"/>
        <v>-6.59353</v>
      </c>
      <c r="L12">
        <f>$A10*M$4-Wing_Layout!$F$10</f>
        <v>33.36204</v>
      </c>
      <c r="M12">
        <f t="shared" si="1"/>
        <v>0.298078</v>
      </c>
      <c r="O12">
        <f>$A10*P$4-Wing_Layout!$F$11</f>
        <v>33.12168</v>
      </c>
      <c r="P12">
        <f t="shared" si="2"/>
        <v>5.234318</v>
      </c>
      <c r="R12">
        <f>$A10*S$4-Wing_Layout!$F$12</f>
        <v>33.34156</v>
      </c>
      <c r="S12">
        <f t="shared" si="3"/>
        <v>10.20722</v>
      </c>
      <c r="U12">
        <f>$A10*V$4-Wing_Layout!$F$13</f>
        <v>33.3515</v>
      </c>
      <c r="V12">
        <f t="shared" si="4"/>
        <v>-5.30075</v>
      </c>
      <c r="X12">
        <f>$A10*Y$4-Wing_Layout!$F$14</f>
        <v>33.36144</v>
      </c>
      <c r="Y12">
        <f t="shared" si="5"/>
        <v>-1.80872</v>
      </c>
      <c r="AA12">
        <f>$A10*AB$4-Wing_Layout!$F$15</f>
        <v>33.37138</v>
      </c>
      <c r="AB12">
        <f t="shared" si="6"/>
        <v>1.68331</v>
      </c>
      <c r="AD12">
        <f>$A10*AE$4-Wing_Layout!$F$16</f>
        <v>33.38132</v>
      </c>
      <c r="AE12">
        <f t="shared" si="7"/>
        <v>5.17534</v>
      </c>
      <c r="AG12">
        <f>$A10*AH$4-Wing_Layout!$F$17</f>
        <v>33.39623</v>
      </c>
      <c r="AH12">
        <f t="shared" si="8"/>
        <v>8.163385</v>
      </c>
      <c r="AJ12">
        <f>$A10*AK$4-Wing_Layout!$F$18</f>
        <v>33.32108</v>
      </c>
      <c r="AK12">
        <f t="shared" si="9"/>
        <v>11.14346</v>
      </c>
    </row>
    <row r="13" spans="1:37" ht="12.75">
      <c r="A13">
        <v>0.72805</v>
      </c>
      <c r="B13">
        <v>0.0218</v>
      </c>
      <c r="I13">
        <f>$A11*J$4-Wing_Layout!$F$9</f>
        <v>33.827675000000006</v>
      </c>
      <c r="J13">
        <f t="shared" si="0"/>
        <v>-6.39106</v>
      </c>
      <c r="L13">
        <f>$A11*M$4-Wing_Layout!$F$10</f>
        <v>32.60214</v>
      </c>
      <c r="M13">
        <f t="shared" si="1"/>
        <v>0.446556</v>
      </c>
      <c r="O13">
        <f>$A11*P$4-Wing_Layout!$F$11</f>
        <v>32.49588</v>
      </c>
      <c r="P13">
        <f t="shared" si="2"/>
        <v>5.351036</v>
      </c>
      <c r="R13">
        <f>$A11*S$4-Wing_Layout!$F$12</f>
        <v>32.76046</v>
      </c>
      <c r="S13">
        <f t="shared" si="3"/>
        <v>10.31044</v>
      </c>
      <c r="U13">
        <f>$A11*V$4-Wing_Layout!$F$13</f>
        <v>32.79275</v>
      </c>
      <c r="V13">
        <f t="shared" si="4"/>
        <v>-5.2015</v>
      </c>
      <c r="X13">
        <f>$A11*Y$4-Wing_Layout!$F$14</f>
        <v>32.82504</v>
      </c>
      <c r="Y13">
        <f t="shared" si="5"/>
        <v>-1.71344</v>
      </c>
      <c r="AA13">
        <f>$A11*AB$4-Wing_Layout!$F$15</f>
        <v>32.857330000000005</v>
      </c>
      <c r="AB13">
        <f t="shared" si="6"/>
        <v>1.77462</v>
      </c>
      <c r="AD13">
        <f>$A11*AE$4-Wing_Layout!$F$16</f>
        <v>32.88962</v>
      </c>
      <c r="AE13">
        <f t="shared" si="7"/>
        <v>5.26268</v>
      </c>
      <c r="AG13">
        <f>$A11*AH$4-Wing_Layout!$F$17</f>
        <v>32.938055</v>
      </c>
      <c r="AH13">
        <f t="shared" si="8"/>
        <v>8.24477</v>
      </c>
      <c r="AJ13">
        <f>$A11*AK$4-Wing_Layout!$F$18</f>
        <v>32.91878</v>
      </c>
      <c r="AK13">
        <f t="shared" si="9"/>
        <v>11.21492</v>
      </c>
    </row>
    <row r="14" spans="1:37" ht="12.75">
      <c r="A14">
        <v>0.7071</v>
      </c>
      <c r="B14">
        <v>0.02746</v>
      </c>
      <c r="I14">
        <f>$A12*J$4-Wing_Layout!$F$9</f>
        <v>32.975125000000006</v>
      </c>
      <c r="J14">
        <f t="shared" si="0"/>
        <v>-6.15391</v>
      </c>
      <c r="L14">
        <f>$A12*M$4-Wing_Layout!$F$10</f>
        <v>31.9201</v>
      </c>
      <c r="M14">
        <f t="shared" si="1"/>
        <v>0.6204660000000001</v>
      </c>
      <c r="O14">
        <f>$A12*P$4-Wing_Layout!$F$11</f>
        <v>31.9342</v>
      </c>
      <c r="P14">
        <f t="shared" si="2"/>
        <v>5.487746</v>
      </c>
      <c r="R14">
        <f>$A12*S$4-Wing_Layout!$F$12</f>
        <v>32.2389</v>
      </c>
      <c r="S14">
        <f t="shared" si="3"/>
        <v>10.43134</v>
      </c>
      <c r="U14">
        <f>$A12*V$4-Wing_Layout!$F$13</f>
        <v>32.29125</v>
      </c>
      <c r="V14">
        <f t="shared" si="4"/>
        <v>-5.08525</v>
      </c>
      <c r="X14">
        <f>$A12*Y$4-Wing_Layout!$F$14</f>
        <v>32.3436</v>
      </c>
      <c r="Y14">
        <f t="shared" si="5"/>
        <v>-1.60184</v>
      </c>
      <c r="AA14">
        <f>$A12*AB$4-Wing_Layout!$F$15</f>
        <v>32.39595</v>
      </c>
      <c r="AB14">
        <f t="shared" si="6"/>
        <v>1.88157</v>
      </c>
      <c r="AD14">
        <f>$A12*AE$4-Wing_Layout!$F$16</f>
        <v>32.4483</v>
      </c>
      <c r="AE14">
        <f t="shared" si="7"/>
        <v>5.36498</v>
      </c>
      <c r="AG14">
        <f>$A12*AH$4-Wing_Layout!$F$17</f>
        <v>32.526825</v>
      </c>
      <c r="AH14">
        <f t="shared" si="8"/>
        <v>8.340095</v>
      </c>
      <c r="AJ14">
        <f>$A12*AK$4-Wing_Layout!$F$18</f>
        <v>32.557700000000004</v>
      </c>
      <c r="AK14">
        <f t="shared" si="9"/>
        <v>11.29862</v>
      </c>
    </row>
    <row r="15" spans="1:37" ht="12.75">
      <c r="A15">
        <v>0.68296</v>
      </c>
      <c r="B15">
        <v>0.03345</v>
      </c>
      <c r="I15">
        <f>$A13*J$4-Wing_Layout!$F$9</f>
        <v>32.142125</v>
      </c>
      <c r="J15">
        <f t="shared" si="0"/>
        <v>-5.8882</v>
      </c>
      <c r="L15">
        <f>$A13*M$4-Wing_Layout!$F$10</f>
        <v>31.2537</v>
      </c>
      <c r="M15">
        <f t="shared" si="1"/>
        <v>0.81532</v>
      </c>
      <c r="O15">
        <f>$A13*P$4-Wing_Layout!$F$11</f>
        <v>31.3854</v>
      </c>
      <c r="P15">
        <f t="shared" si="2"/>
        <v>5.64092</v>
      </c>
      <c r="R15">
        <f>$A13*S$4-Wing_Layout!$F$12</f>
        <v>31.7293</v>
      </c>
      <c r="S15">
        <f t="shared" si="3"/>
        <v>10.5668</v>
      </c>
      <c r="U15">
        <f>$A13*V$4-Wing_Layout!$F$13</f>
        <v>31.801249999999996</v>
      </c>
      <c r="V15">
        <f t="shared" si="4"/>
        <v>-4.955</v>
      </c>
      <c r="X15">
        <f>$A13*Y$4-Wing_Layout!$F$14</f>
        <v>31.873199999999997</v>
      </c>
      <c r="Y15">
        <f t="shared" si="5"/>
        <v>-1.4768</v>
      </c>
      <c r="AA15">
        <f>$A13*AB$4-Wing_Layout!$F$15</f>
        <v>31.945149999999998</v>
      </c>
      <c r="AB15">
        <f t="shared" si="6"/>
        <v>2.0014</v>
      </c>
      <c r="AD15">
        <f>$A13*AE$4-Wing_Layout!$F$16</f>
        <v>32.0171</v>
      </c>
      <c r="AE15">
        <f t="shared" si="7"/>
        <v>5.4796</v>
      </c>
      <c r="AG15">
        <f>$A13*AH$4-Wing_Layout!$F$17</f>
        <v>32.125025</v>
      </c>
      <c r="AH15">
        <f t="shared" si="8"/>
        <v>8.4469</v>
      </c>
      <c r="AJ15">
        <f>$A13*AK$4-Wing_Layout!$F$18</f>
        <v>32.2049</v>
      </c>
      <c r="AK15">
        <f t="shared" si="9"/>
        <v>11.3924</v>
      </c>
    </row>
    <row r="16" spans="1:37" ht="12.75">
      <c r="A16">
        <v>0.65461</v>
      </c>
      <c r="B16">
        <v>0.03963</v>
      </c>
      <c r="I16">
        <f>$A14*J$4-Wing_Layout!$F$9</f>
        <v>31.251749999999998</v>
      </c>
      <c r="J16">
        <f t="shared" si="0"/>
        <v>-5.59954</v>
      </c>
      <c r="L16">
        <f>$A14*M$4-Wing_Layout!$F$10</f>
        <v>30.5414</v>
      </c>
      <c r="M16">
        <f t="shared" si="1"/>
        <v>1.027004</v>
      </c>
      <c r="O16">
        <f>$A14*P$4-Wing_Layout!$F$11</f>
        <v>30.7988</v>
      </c>
      <c r="P16">
        <f t="shared" si="2"/>
        <v>5.807324</v>
      </c>
      <c r="R16">
        <f>$A14*S$4-Wing_Layout!$F$12</f>
        <v>31.1846</v>
      </c>
      <c r="S16">
        <f t="shared" si="3"/>
        <v>10.71396</v>
      </c>
      <c r="U16">
        <f>$A14*V$4-Wing_Layout!$F$13</f>
        <v>31.277499999999996</v>
      </c>
      <c r="V16">
        <f t="shared" si="4"/>
        <v>-4.8135</v>
      </c>
      <c r="X16">
        <f>$A14*Y$4-Wing_Layout!$F$14</f>
        <v>31.370399999999997</v>
      </c>
      <c r="Y16">
        <f t="shared" si="5"/>
        <v>-1.34096</v>
      </c>
      <c r="AA16">
        <f>$A14*AB$4-Wing_Layout!$F$15</f>
        <v>31.463299999999997</v>
      </c>
      <c r="AB16">
        <f t="shared" si="6"/>
        <v>2.13158</v>
      </c>
      <c r="AD16">
        <f>$A14*AE$4-Wing_Layout!$F$16</f>
        <v>31.556199999999997</v>
      </c>
      <c r="AE16">
        <f t="shared" si="7"/>
        <v>5.60412</v>
      </c>
      <c r="AG16">
        <f>$A14*AH$4-Wing_Layout!$F$17</f>
        <v>31.695549999999997</v>
      </c>
      <c r="AH16">
        <f t="shared" si="8"/>
        <v>8.56293</v>
      </c>
      <c r="AJ16">
        <f>$A14*AK$4-Wing_Layout!$F$18</f>
        <v>31.8278</v>
      </c>
      <c r="AK16">
        <f t="shared" si="9"/>
        <v>11.49428</v>
      </c>
    </row>
    <row r="17" spans="1:37" ht="12.75">
      <c r="A17">
        <v>0.62257</v>
      </c>
      <c r="B17">
        <v>0.04587</v>
      </c>
      <c r="I17">
        <f>$A15*J$4-Wing_Layout!$F$9</f>
        <v>30.2258</v>
      </c>
      <c r="J17">
        <f t="shared" si="0"/>
        <v>-5.29405</v>
      </c>
      <c r="L17">
        <f>$A15*M$4-Wing_Layout!$F$10</f>
        <v>29.72064</v>
      </c>
      <c r="M17">
        <f t="shared" si="1"/>
        <v>1.25103</v>
      </c>
      <c r="O17">
        <f>$A15*P$4-Wing_Layout!$F$11</f>
        <v>30.122880000000002</v>
      </c>
      <c r="P17">
        <f t="shared" si="2"/>
        <v>5.98343</v>
      </c>
      <c r="R17">
        <f>$A15*S$4-Wing_Layout!$F$12</f>
        <v>30.55696</v>
      </c>
      <c r="S17">
        <f t="shared" si="3"/>
        <v>10.8697</v>
      </c>
      <c r="U17">
        <f>$A15*V$4-Wing_Layout!$F$13</f>
        <v>30.674</v>
      </c>
      <c r="V17">
        <f t="shared" si="4"/>
        <v>-4.66375</v>
      </c>
      <c r="X17">
        <f>$A15*Y$4-Wing_Layout!$F$14</f>
        <v>30.791040000000002</v>
      </c>
      <c r="Y17">
        <f t="shared" si="5"/>
        <v>-1.1972</v>
      </c>
      <c r="AA17">
        <f>$A15*AB$4-Wing_Layout!$F$15</f>
        <v>30.908079999999998</v>
      </c>
      <c r="AB17">
        <f t="shared" si="6"/>
        <v>2.26935</v>
      </c>
      <c r="AD17">
        <f>$A15*AE$4-Wing_Layout!$F$16</f>
        <v>31.02512</v>
      </c>
      <c r="AE17">
        <f t="shared" si="7"/>
        <v>5.7359</v>
      </c>
      <c r="AG17">
        <f>$A15*AH$4-Wing_Layout!$F$17</f>
        <v>31.20068</v>
      </c>
      <c r="AH17">
        <f t="shared" si="8"/>
        <v>8.685725</v>
      </c>
      <c r="AJ17">
        <f>$A15*AK$4-Wing_Layout!$F$18</f>
        <v>31.39328</v>
      </c>
      <c r="AK17">
        <f t="shared" si="9"/>
        <v>11.6021</v>
      </c>
    </row>
    <row r="18" spans="1:37" ht="12.75">
      <c r="A18">
        <v>0.58752</v>
      </c>
      <c r="B18">
        <v>0.05204</v>
      </c>
      <c r="I18">
        <f>$A16*J$4-Wing_Layout!$F$9</f>
        <v>29.020925000000002</v>
      </c>
      <c r="J18">
        <f t="shared" si="0"/>
        <v>-4.978870000000001</v>
      </c>
      <c r="L18">
        <f>$A16*M$4-Wing_Layout!$F$10</f>
        <v>28.75674</v>
      </c>
      <c r="M18">
        <f t="shared" si="1"/>
        <v>1.482162</v>
      </c>
      <c r="O18">
        <f>$A16*P$4-Wing_Layout!$F$11</f>
        <v>29.32908</v>
      </c>
      <c r="P18">
        <f t="shared" si="2"/>
        <v>6.165122</v>
      </c>
      <c r="R18">
        <f>$A16*S$4-Wing_Layout!$F$12</f>
        <v>29.819860000000002</v>
      </c>
      <c r="S18">
        <f t="shared" si="3"/>
        <v>11.030380000000001</v>
      </c>
      <c r="U18">
        <f>$A16*V$4-Wing_Layout!$F$13</f>
        <v>29.965249999999997</v>
      </c>
      <c r="V18">
        <f t="shared" si="4"/>
        <v>-4.50925</v>
      </c>
      <c r="X18">
        <f>$A16*Y$4-Wing_Layout!$F$14</f>
        <v>30.110640000000004</v>
      </c>
      <c r="Y18">
        <f t="shared" si="5"/>
        <v>-1.04888</v>
      </c>
      <c r="AA18">
        <f>$A16*AB$4-Wing_Layout!$F$15</f>
        <v>30.25603</v>
      </c>
      <c r="AB18">
        <f t="shared" si="6"/>
        <v>2.4114899999999997</v>
      </c>
      <c r="AD18">
        <f>$A16*AE$4-Wing_Layout!$F$16</f>
        <v>30.40142</v>
      </c>
      <c r="AE18">
        <f t="shared" si="7"/>
        <v>5.87186</v>
      </c>
      <c r="AG18">
        <f>$A16*AH$4-Wing_Layout!$F$17</f>
        <v>30.619505</v>
      </c>
      <c r="AH18">
        <f t="shared" si="8"/>
        <v>8.812415</v>
      </c>
      <c r="AJ18">
        <f>$A16*AK$4-Wing_Layout!$F$18</f>
        <v>30.882980000000003</v>
      </c>
      <c r="AK18">
        <f t="shared" si="9"/>
        <v>11.71334</v>
      </c>
    </row>
    <row r="19" spans="1:37" ht="12.75">
      <c r="A19">
        <v>0.55015</v>
      </c>
      <c r="B19">
        <v>0.05798</v>
      </c>
      <c r="I19">
        <f>$A17*J$4-Wing_Layout!$F$9</f>
        <v>27.659224999999996</v>
      </c>
      <c r="J19">
        <f t="shared" si="0"/>
        <v>-4.660629999999999</v>
      </c>
      <c r="L19">
        <f>$A17*M$4-Wing_Layout!$F$10</f>
        <v>27.667379999999998</v>
      </c>
      <c r="M19">
        <f t="shared" si="1"/>
        <v>1.715538</v>
      </c>
      <c r="O19">
        <f>$A17*P$4-Wing_Layout!$F$11</f>
        <v>28.43196</v>
      </c>
      <c r="P19">
        <f t="shared" si="2"/>
        <v>6.348578</v>
      </c>
      <c r="R19">
        <f>$A17*S$4-Wing_Layout!$F$12</f>
        <v>28.986819999999998</v>
      </c>
      <c r="S19">
        <f t="shared" si="3"/>
        <v>11.19262</v>
      </c>
      <c r="U19">
        <f>$A17*V$4-Wing_Layout!$F$13</f>
        <v>29.16425</v>
      </c>
      <c r="V19">
        <f t="shared" si="4"/>
        <v>-4.35325</v>
      </c>
      <c r="X19">
        <f>$A17*Y$4-Wing_Layout!$F$14</f>
        <v>29.341679999999997</v>
      </c>
      <c r="Y19">
        <f t="shared" si="5"/>
        <v>-0.8991199999999999</v>
      </c>
      <c r="AA19">
        <f>$A17*AB$4-Wing_Layout!$F$15</f>
        <v>29.519109999999998</v>
      </c>
      <c r="AB19">
        <f t="shared" si="6"/>
        <v>2.5550100000000002</v>
      </c>
      <c r="AD19">
        <f>$A17*AE$4-Wing_Layout!$F$16</f>
        <v>29.69654</v>
      </c>
      <c r="AE19">
        <f t="shared" si="7"/>
        <v>6.00914</v>
      </c>
      <c r="AG19">
        <f>$A17*AH$4-Wing_Layout!$F$17</f>
        <v>29.962685</v>
      </c>
      <c r="AH19">
        <f t="shared" si="8"/>
        <v>8.940335</v>
      </c>
      <c r="AJ19">
        <f>$A17*AK$4-Wing_Layout!$F$18</f>
        <v>30.30626</v>
      </c>
      <c r="AK19">
        <f t="shared" si="9"/>
        <v>11.82566</v>
      </c>
    </row>
    <row r="20" spans="1:37" ht="12.75">
      <c r="A20">
        <v>0.51114</v>
      </c>
      <c r="B20">
        <v>0.06357</v>
      </c>
      <c r="I20">
        <f>$A18*J$4-Wing_Layout!$F$9</f>
        <v>26.169600000000003</v>
      </c>
      <c r="J20">
        <f t="shared" si="0"/>
        <v>-4.34596</v>
      </c>
      <c r="L20">
        <f>$A18*M$4-Wing_Layout!$F$10</f>
        <v>26.47568</v>
      </c>
      <c r="M20">
        <f t="shared" si="1"/>
        <v>1.9462960000000002</v>
      </c>
      <c r="O20">
        <f>$A18*P$4-Wing_Layout!$F$11</f>
        <v>27.450560000000003</v>
      </c>
      <c r="P20">
        <f t="shared" si="2"/>
        <v>6.529976</v>
      </c>
      <c r="R20">
        <f>$A18*S$4-Wing_Layout!$F$12</f>
        <v>28.07552</v>
      </c>
      <c r="S20">
        <f t="shared" si="3"/>
        <v>11.35304</v>
      </c>
      <c r="U20">
        <f>$A18*V$4-Wing_Layout!$F$13</f>
        <v>28.288</v>
      </c>
      <c r="V20">
        <f t="shared" si="4"/>
        <v>-4.199</v>
      </c>
      <c r="X20">
        <f>$A18*Y$4-Wing_Layout!$F$14</f>
        <v>28.500480000000003</v>
      </c>
      <c r="Y20">
        <f t="shared" si="5"/>
        <v>-0.7510399999999999</v>
      </c>
      <c r="AA20">
        <f>$A18*AB$4-Wing_Layout!$F$15</f>
        <v>28.712960000000002</v>
      </c>
      <c r="AB20">
        <f t="shared" si="6"/>
        <v>2.69692</v>
      </c>
      <c r="AD20">
        <f>$A18*AE$4-Wing_Layout!$F$16</f>
        <v>28.925440000000002</v>
      </c>
      <c r="AE20">
        <f t="shared" si="7"/>
        <v>6.144880000000001</v>
      </c>
      <c r="AG20">
        <f>$A18*AH$4-Wing_Layout!$F$17</f>
        <v>29.24416</v>
      </c>
      <c r="AH20">
        <f t="shared" si="8"/>
        <v>9.06682</v>
      </c>
      <c r="AJ20">
        <f>$A18*AK$4-Wing_Layout!$F$18</f>
        <v>29.67536</v>
      </c>
      <c r="AK20">
        <f t="shared" si="9"/>
        <v>11.93672</v>
      </c>
    </row>
    <row r="21" spans="1:37" ht="12.75">
      <c r="A21">
        <v>0.47119</v>
      </c>
      <c r="B21">
        <v>0.06867</v>
      </c>
      <c r="I21">
        <f>$A19*J$4-Wing_Layout!$F$9</f>
        <v>24.581375</v>
      </c>
      <c r="J21">
        <f t="shared" si="0"/>
        <v>-4.04302</v>
      </c>
      <c r="L21">
        <f>$A19*M$4-Wing_Layout!$F$10</f>
        <v>25.2051</v>
      </c>
      <c r="M21">
        <f t="shared" si="1"/>
        <v>2.1684520000000003</v>
      </c>
      <c r="O21">
        <f>$A19*P$4-Wing_Layout!$F$11</f>
        <v>26.404200000000003</v>
      </c>
      <c r="P21">
        <f t="shared" si="2"/>
        <v>6.704612</v>
      </c>
      <c r="R21">
        <f>$A19*S$4-Wing_Layout!$F$12</f>
        <v>27.103900000000003</v>
      </c>
      <c r="S21">
        <f t="shared" si="3"/>
        <v>11.50748</v>
      </c>
      <c r="U21">
        <f>$A19*V$4-Wing_Layout!$F$13</f>
        <v>27.353749999999998</v>
      </c>
      <c r="V21">
        <f t="shared" si="4"/>
        <v>-4.0504999999999995</v>
      </c>
      <c r="X21">
        <f>$A19*Y$4-Wing_Layout!$F$14</f>
        <v>27.6036</v>
      </c>
      <c r="Y21">
        <f t="shared" si="5"/>
        <v>-0.6084800000000001</v>
      </c>
      <c r="AA21">
        <f>$A19*AB$4-Wing_Layout!$F$15</f>
        <v>27.853450000000002</v>
      </c>
      <c r="AB21">
        <f t="shared" si="6"/>
        <v>2.83354</v>
      </c>
      <c r="AD21">
        <f>$A19*AE$4-Wing_Layout!$F$16</f>
        <v>28.1033</v>
      </c>
      <c r="AE21">
        <f t="shared" si="7"/>
        <v>6.2755600000000005</v>
      </c>
      <c r="AG21">
        <f>$A19*AH$4-Wing_Layout!$F$17</f>
        <v>28.478075</v>
      </c>
      <c r="AH21">
        <f t="shared" si="8"/>
        <v>9.18859</v>
      </c>
      <c r="AJ21">
        <f>$A19*AK$4-Wing_Layout!$F$18</f>
        <v>29.002700000000004</v>
      </c>
      <c r="AK21">
        <f t="shared" si="9"/>
        <v>12.04364</v>
      </c>
    </row>
    <row r="22" spans="1:37" ht="12.75">
      <c r="A22">
        <v>0.43098</v>
      </c>
      <c r="B22">
        <v>0.07313</v>
      </c>
      <c r="I22">
        <f>$A20*J$4-Wing_Layout!$F$9</f>
        <v>22.923450000000003</v>
      </c>
      <c r="J22">
        <f t="shared" si="0"/>
        <v>-3.75793</v>
      </c>
      <c r="L22">
        <f>$A20*M$4-Wing_Layout!$F$10</f>
        <v>23.87876</v>
      </c>
      <c r="M22">
        <f t="shared" si="1"/>
        <v>2.3775180000000002</v>
      </c>
      <c r="O22">
        <f>$A20*P$4-Wing_Layout!$F$11</f>
        <v>25.31192</v>
      </c>
      <c r="P22">
        <f t="shared" si="2"/>
        <v>6.868958</v>
      </c>
      <c r="R22">
        <f>$A20*S$4-Wing_Layout!$F$12</f>
        <v>26.089640000000003</v>
      </c>
      <c r="S22">
        <f t="shared" si="3"/>
        <v>11.65282</v>
      </c>
      <c r="U22">
        <f>$A20*V$4-Wing_Layout!$F$13</f>
        <v>26.378500000000003</v>
      </c>
      <c r="V22">
        <f t="shared" si="4"/>
        <v>-3.91075</v>
      </c>
      <c r="X22">
        <f>$A20*Y$4-Wing_Layout!$F$14</f>
        <v>26.667360000000002</v>
      </c>
      <c r="Y22">
        <f t="shared" si="5"/>
        <v>-0.4743200000000001</v>
      </c>
      <c r="AA22">
        <f>$A20*AB$4-Wing_Layout!$F$15</f>
        <v>26.956220000000002</v>
      </c>
      <c r="AB22">
        <f t="shared" si="6"/>
        <v>2.96211</v>
      </c>
      <c r="AD22">
        <f>$A20*AE$4-Wing_Layout!$F$16</f>
        <v>27.24508</v>
      </c>
      <c r="AE22">
        <f t="shared" si="7"/>
        <v>6.398540000000001</v>
      </c>
      <c r="AG22">
        <f>$A20*AH$4-Wing_Layout!$F$17</f>
        <v>27.67837</v>
      </c>
      <c r="AH22">
        <f t="shared" si="8"/>
        <v>9.303185</v>
      </c>
      <c r="AJ22">
        <f>$A20*AK$4-Wing_Layout!$F$18</f>
        <v>28.300520000000002</v>
      </c>
      <c r="AK22">
        <f t="shared" si="9"/>
        <v>12.14426</v>
      </c>
    </row>
    <row r="23" spans="1:37" ht="12.75">
      <c r="A23">
        <v>0.3912</v>
      </c>
      <c r="B23">
        <v>0.07683</v>
      </c>
      <c r="I23">
        <f>$A21*J$4-Wing_Layout!$F$9</f>
        <v>21.225575</v>
      </c>
      <c r="J23">
        <f t="shared" si="0"/>
        <v>-3.4978300000000004</v>
      </c>
      <c r="L23">
        <f>$A21*M$4-Wing_Layout!$F$10</f>
        <v>22.52046</v>
      </c>
      <c r="M23">
        <f t="shared" si="1"/>
        <v>2.568258</v>
      </c>
      <c r="O23">
        <f>$A21*P$4-Wing_Layout!$F$11</f>
        <v>24.19332</v>
      </c>
      <c r="P23">
        <f t="shared" si="2"/>
        <v>7.018898</v>
      </c>
      <c r="R23">
        <f>$A21*S$4-Wing_Layout!$F$12</f>
        <v>25.05094</v>
      </c>
      <c r="S23">
        <f t="shared" si="3"/>
        <v>11.78542</v>
      </c>
      <c r="U23">
        <f>$A21*V$4-Wing_Layout!$F$13</f>
        <v>25.37975</v>
      </c>
      <c r="V23">
        <f t="shared" si="4"/>
        <v>-3.7832500000000002</v>
      </c>
      <c r="X23">
        <f>$A21*Y$4-Wing_Layout!$F$14</f>
        <v>25.70856</v>
      </c>
      <c r="Y23">
        <f t="shared" si="5"/>
        <v>-0.35192000000000023</v>
      </c>
      <c r="AA23">
        <f>$A21*AB$4-Wing_Layout!$F$15</f>
        <v>26.03737</v>
      </c>
      <c r="AB23">
        <f t="shared" si="6"/>
        <v>3.07941</v>
      </c>
      <c r="AD23">
        <f>$A21*AE$4-Wing_Layout!$F$16</f>
        <v>26.36618</v>
      </c>
      <c r="AE23">
        <f t="shared" si="7"/>
        <v>6.51074</v>
      </c>
      <c r="AG23">
        <f>$A21*AH$4-Wing_Layout!$F$17</f>
        <v>26.859395</v>
      </c>
      <c r="AH23">
        <f t="shared" si="8"/>
        <v>9.407735</v>
      </c>
      <c r="AJ23">
        <f>$A21*AK$4-Wing_Layout!$F$18</f>
        <v>27.58142</v>
      </c>
      <c r="AK23">
        <f t="shared" si="9"/>
        <v>12.23606</v>
      </c>
    </row>
    <row r="24" spans="1:37" ht="12.75">
      <c r="A24">
        <v>0.35253</v>
      </c>
      <c r="B24">
        <v>0.0796</v>
      </c>
      <c r="I24">
        <f>$A22*J$4-Wing_Layout!$F$9</f>
        <v>19.51665</v>
      </c>
      <c r="J24">
        <f t="shared" si="0"/>
        <v>-3.2703699999999998</v>
      </c>
      <c r="L24">
        <f>$A22*M$4-Wing_Layout!$F$10</f>
        <v>21.15332</v>
      </c>
      <c r="M24">
        <f t="shared" si="1"/>
        <v>2.735062</v>
      </c>
      <c r="O24">
        <f>$A22*P$4-Wing_Layout!$F$11</f>
        <v>23.067439999999998</v>
      </c>
      <c r="P24">
        <f t="shared" si="2"/>
        <v>7.150022</v>
      </c>
      <c r="R24">
        <f>$A22*S$4-Wing_Layout!$F$12</f>
        <v>24.00548</v>
      </c>
      <c r="S24">
        <f t="shared" si="3"/>
        <v>11.90138</v>
      </c>
      <c r="U24">
        <f>$A22*V$4-Wing_Layout!$F$13</f>
        <v>24.374499999999998</v>
      </c>
      <c r="V24">
        <f t="shared" si="4"/>
        <v>-3.6717500000000003</v>
      </c>
      <c r="X24">
        <f>$A22*Y$4-Wing_Layout!$F$14</f>
        <v>24.74352</v>
      </c>
      <c r="Y24">
        <f t="shared" si="5"/>
        <v>-0.24488</v>
      </c>
      <c r="AA24">
        <f>$A22*AB$4-Wing_Layout!$F$15</f>
        <v>25.11254</v>
      </c>
      <c r="AB24">
        <f t="shared" si="6"/>
        <v>3.18199</v>
      </c>
      <c r="AD24">
        <f>$A22*AE$4-Wing_Layout!$F$16</f>
        <v>25.48156</v>
      </c>
      <c r="AE24">
        <f t="shared" si="7"/>
        <v>6.60886</v>
      </c>
      <c r="AG24">
        <f>$A22*AH$4-Wing_Layout!$F$17</f>
        <v>26.035089999999997</v>
      </c>
      <c r="AH24">
        <f t="shared" si="8"/>
        <v>9.499165</v>
      </c>
      <c r="AJ24">
        <f>$A22*AK$4-Wing_Layout!$F$18</f>
        <v>26.85764</v>
      </c>
      <c r="AK24">
        <f t="shared" si="9"/>
        <v>12.31634</v>
      </c>
    </row>
    <row r="25" spans="1:37" ht="12.75">
      <c r="A25">
        <v>0.31566</v>
      </c>
      <c r="B25">
        <v>0.08133</v>
      </c>
      <c r="I25">
        <f>$A23*J$4-Wing_Layout!$F$9</f>
        <v>17.826</v>
      </c>
      <c r="J25">
        <f t="shared" si="0"/>
        <v>-3.081670000000001</v>
      </c>
      <c r="L25">
        <f>$A23*M$4-Wing_Layout!$F$10</f>
        <v>19.8008</v>
      </c>
      <c r="M25">
        <f t="shared" si="1"/>
        <v>2.8734420000000003</v>
      </c>
      <c r="O25">
        <f>$A23*P$4-Wing_Layout!$F$11</f>
        <v>21.9536</v>
      </c>
      <c r="P25">
        <f t="shared" si="2"/>
        <v>7.258801999999999</v>
      </c>
      <c r="R25">
        <f>$A23*S$4-Wing_Layout!$F$12</f>
        <v>22.9712</v>
      </c>
      <c r="S25">
        <f t="shared" si="3"/>
        <v>11.99758</v>
      </c>
      <c r="U25">
        <f>$A23*V$4-Wing_Layout!$F$13</f>
        <v>23.38</v>
      </c>
      <c r="V25">
        <f t="shared" si="4"/>
        <v>-3.57925</v>
      </c>
      <c r="X25">
        <f>$A23*Y$4-Wing_Layout!$F$14</f>
        <v>23.788800000000002</v>
      </c>
      <c r="Y25">
        <f t="shared" si="5"/>
        <v>-0.15608000000000022</v>
      </c>
      <c r="AA25">
        <f>$A23*AB$4-Wing_Layout!$F$15</f>
        <v>24.1976</v>
      </c>
      <c r="AB25">
        <f t="shared" si="6"/>
        <v>3.2670899999999996</v>
      </c>
      <c r="AD25">
        <f>$A23*AE$4-Wing_Layout!$F$16</f>
        <v>24.6064</v>
      </c>
      <c r="AE25">
        <f t="shared" si="7"/>
        <v>6.69026</v>
      </c>
      <c r="AG25">
        <f>$A23*AH$4-Wing_Layout!$F$17</f>
        <v>25.2196</v>
      </c>
      <c r="AH25">
        <f t="shared" si="8"/>
        <v>9.575015</v>
      </c>
      <c r="AJ25">
        <f>$A23*AK$4-Wing_Layout!$F$18</f>
        <v>26.1416</v>
      </c>
      <c r="AK25">
        <f t="shared" si="9"/>
        <v>12.38294</v>
      </c>
    </row>
    <row r="26" spans="1:37" ht="12.75">
      <c r="A26">
        <v>0.28092</v>
      </c>
      <c r="B26">
        <v>0.08199</v>
      </c>
      <c r="I26">
        <f>$A24*J$4-Wing_Layout!$F$9</f>
        <v>16.182525000000002</v>
      </c>
      <c r="J26">
        <f t="shared" si="0"/>
        <v>-2.9403999999999995</v>
      </c>
      <c r="L26">
        <f>$A24*M$4-Wing_Layout!$F$10</f>
        <v>18.48602</v>
      </c>
      <c r="M26">
        <f t="shared" si="1"/>
        <v>2.9770400000000006</v>
      </c>
      <c r="O26">
        <f>$A24*P$4-Wing_Layout!$F$11</f>
        <v>20.87084</v>
      </c>
      <c r="P26">
        <f t="shared" si="2"/>
        <v>7.34024</v>
      </c>
      <c r="R26">
        <f>$A24*S$4-Wing_Layout!$F$12</f>
        <v>21.965780000000002</v>
      </c>
      <c r="S26">
        <f t="shared" si="3"/>
        <v>12.069600000000001</v>
      </c>
      <c r="U26">
        <f>$A24*V$4-Wing_Layout!$F$13</f>
        <v>22.413249999999998</v>
      </c>
      <c r="V26">
        <f t="shared" si="4"/>
        <v>-3.51</v>
      </c>
      <c r="X26">
        <f>$A24*Y$4-Wing_Layout!$F$14</f>
        <v>22.86072</v>
      </c>
      <c r="Y26">
        <f t="shared" si="5"/>
        <v>-0.0895999999999999</v>
      </c>
      <c r="AA26">
        <f>$A24*AB$4-Wing_Layout!$F$15</f>
        <v>23.30819</v>
      </c>
      <c r="AB26">
        <f t="shared" si="6"/>
        <v>3.3308</v>
      </c>
      <c r="AD26">
        <f>$A24*AE$4-Wing_Layout!$F$16</f>
        <v>23.75566</v>
      </c>
      <c r="AE26">
        <f t="shared" si="7"/>
        <v>6.7512</v>
      </c>
      <c r="AG26">
        <f>$A24*AH$4-Wing_Layout!$F$17</f>
        <v>24.426865</v>
      </c>
      <c r="AH26">
        <f t="shared" si="8"/>
        <v>9.6318</v>
      </c>
      <c r="AJ26">
        <f>$A24*AK$4-Wing_Layout!$F$18</f>
        <v>25.44554</v>
      </c>
      <c r="AK26">
        <f t="shared" si="9"/>
        <v>12.4328</v>
      </c>
    </row>
    <row r="27" spans="1:37" ht="12.75">
      <c r="A27">
        <v>0.2483</v>
      </c>
      <c r="B27">
        <v>0.08163</v>
      </c>
      <c r="I27">
        <f>$A25*J$4-Wing_Layout!$F$9</f>
        <v>14.615549999999999</v>
      </c>
      <c r="J27">
        <f t="shared" si="0"/>
        <v>-2.85217</v>
      </c>
      <c r="L27">
        <f>$A25*M$4-Wing_Layout!$F$10</f>
        <v>17.23244</v>
      </c>
      <c r="M27">
        <f t="shared" si="1"/>
        <v>3.041742</v>
      </c>
      <c r="O27">
        <f>$A25*P$4-Wing_Layout!$F$11</f>
        <v>19.83848</v>
      </c>
      <c r="P27">
        <f t="shared" si="2"/>
        <v>7.391102</v>
      </c>
      <c r="R27">
        <f>$A25*S$4-Wing_Layout!$F$12</f>
        <v>21.00716</v>
      </c>
      <c r="S27">
        <f t="shared" si="3"/>
        <v>12.11458</v>
      </c>
      <c r="U27">
        <f>$A25*V$4-Wing_Layout!$F$13</f>
        <v>21.4915</v>
      </c>
      <c r="V27">
        <f t="shared" si="4"/>
        <v>-3.46675</v>
      </c>
      <c r="X27">
        <f>$A25*Y$4-Wing_Layout!$F$14</f>
        <v>21.975839999999998</v>
      </c>
      <c r="Y27">
        <f t="shared" si="5"/>
        <v>-0.04808000000000012</v>
      </c>
      <c r="AA27">
        <f>$A25*AB$4-Wing_Layout!$F$15</f>
        <v>22.46018</v>
      </c>
      <c r="AB27">
        <f t="shared" si="6"/>
        <v>3.37059</v>
      </c>
      <c r="AD27">
        <f>$A25*AE$4-Wing_Layout!$F$16</f>
        <v>22.94452</v>
      </c>
      <c r="AE27">
        <f t="shared" si="7"/>
        <v>6.7892600000000005</v>
      </c>
      <c r="AG27">
        <f>$A25*AH$4-Wing_Layout!$F$17</f>
        <v>23.67103</v>
      </c>
      <c r="AH27">
        <f t="shared" si="8"/>
        <v>9.667265</v>
      </c>
      <c r="AJ27">
        <f>$A25*AK$4-Wing_Layout!$F$18</f>
        <v>24.78188</v>
      </c>
      <c r="AK27">
        <f t="shared" si="9"/>
        <v>12.463940000000001</v>
      </c>
    </row>
    <row r="28" spans="1:37" ht="12.75">
      <c r="A28">
        <v>0.21781</v>
      </c>
      <c r="B28">
        <v>0.08033</v>
      </c>
      <c r="I28">
        <f>$A26*J$4-Wing_Layout!$F$9</f>
        <v>13.1391</v>
      </c>
      <c r="J28">
        <f t="shared" si="0"/>
        <v>-2.8185100000000007</v>
      </c>
      <c r="L28">
        <f>$A26*M$4-Wing_Layout!$F$10</f>
        <v>16.05128</v>
      </c>
      <c r="M28">
        <f t="shared" si="1"/>
        <v>3.0664260000000003</v>
      </c>
      <c r="O28">
        <f>$A26*P$4-Wing_Layout!$F$11</f>
        <v>18.86576</v>
      </c>
      <c r="P28">
        <f t="shared" si="2"/>
        <v>7.410506</v>
      </c>
      <c r="R28">
        <f>$A26*S$4-Wing_Layout!$F$12</f>
        <v>20.103920000000002</v>
      </c>
      <c r="S28">
        <f t="shared" si="3"/>
        <v>12.13174</v>
      </c>
      <c r="U28">
        <f>$A26*V$4-Wing_Layout!$F$13</f>
        <v>20.622999999999998</v>
      </c>
      <c r="V28">
        <f t="shared" si="4"/>
        <v>-3.45025</v>
      </c>
      <c r="X28">
        <f>$A26*Y$4-Wing_Layout!$F$14</f>
        <v>21.14208</v>
      </c>
      <c r="Y28">
        <f t="shared" si="5"/>
        <v>-0.03224000000000027</v>
      </c>
      <c r="AA28">
        <f>$A26*AB$4-Wing_Layout!$F$15</f>
        <v>21.66116</v>
      </c>
      <c r="AB28">
        <f t="shared" si="6"/>
        <v>3.38577</v>
      </c>
      <c r="AD28">
        <f>$A26*AE$4-Wing_Layout!$F$16</f>
        <v>22.18024</v>
      </c>
      <c r="AE28">
        <f t="shared" si="7"/>
        <v>6.80378</v>
      </c>
      <c r="AG28">
        <f>$A26*AH$4-Wing_Layout!$F$17</f>
        <v>22.95886</v>
      </c>
      <c r="AH28">
        <f t="shared" si="8"/>
        <v>9.680795</v>
      </c>
      <c r="AJ28">
        <f>$A26*AK$4-Wing_Layout!$F$18</f>
        <v>24.156560000000002</v>
      </c>
      <c r="AK28">
        <f t="shared" si="9"/>
        <v>12.47582</v>
      </c>
    </row>
    <row r="29" spans="1:37" ht="12.75">
      <c r="A29">
        <v>0.18943</v>
      </c>
      <c r="B29">
        <v>0.07816</v>
      </c>
      <c r="I29">
        <f>$A27*J$4-Wing_Layout!$F$9</f>
        <v>11.752749999999999</v>
      </c>
      <c r="J29">
        <f t="shared" si="0"/>
        <v>-2.8368700000000002</v>
      </c>
      <c r="L29">
        <f>$A27*M$4-Wing_Layout!$F$10</f>
        <v>14.9422</v>
      </c>
      <c r="M29">
        <f t="shared" si="1"/>
        <v>3.052962</v>
      </c>
      <c r="O29">
        <f>$A27*P$4-Wing_Layout!$F$11</f>
        <v>17.9524</v>
      </c>
      <c r="P29">
        <f t="shared" si="2"/>
        <v>7.399922</v>
      </c>
      <c r="R29">
        <f>$A27*S$4-Wing_Layout!$F$12</f>
        <v>19.2558</v>
      </c>
      <c r="S29">
        <f t="shared" si="3"/>
        <v>12.12238</v>
      </c>
      <c r="U29">
        <f>$A27*V$4-Wing_Layout!$F$13</f>
        <v>19.807499999999997</v>
      </c>
      <c r="V29">
        <f t="shared" si="4"/>
        <v>-3.45925</v>
      </c>
      <c r="X29">
        <f>$A27*Y$4-Wing_Layout!$F$14</f>
        <v>20.3592</v>
      </c>
      <c r="Y29">
        <f t="shared" si="5"/>
        <v>-0.04088000000000003</v>
      </c>
      <c r="AA29">
        <f>$A27*AB$4-Wing_Layout!$F$15</f>
        <v>20.910899999999998</v>
      </c>
      <c r="AB29">
        <f t="shared" si="6"/>
        <v>3.37749</v>
      </c>
      <c r="AD29">
        <f>$A27*AE$4-Wing_Layout!$F$16</f>
        <v>21.462600000000002</v>
      </c>
      <c r="AE29">
        <f t="shared" si="7"/>
        <v>6.795859999999999</v>
      </c>
      <c r="AG29">
        <f>$A27*AH$4-Wing_Layout!$F$17</f>
        <v>22.290149999999997</v>
      </c>
      <c r="AH29">
        <f t="shared" si="8"/>
        <v>9.673415</v>
      </c>
      <c r="AJ29">
        <f>$A27*AK$4-Wing_Layout!$F$18</f>
        <v>23.5694</v>
      </c>
      <c r="AK29">
        <f t="shared" si="9"/>
        <v>12.469339999999999</v>
      </c>
    </row>
    <row r="30" spans="1:37" ht="12.75">
      <c r="A30">
        <v>0.16314</v>
      </c>
      <c r="B30">
        <v>0.07519</v>
      </c>
      <c r="I30">
        <f>$A28*J$4-Wing_Layout!$F$9</f>
        <v>10.456925</v>
      </c>
      <c r="J30">
        <f t="shared" si="0"/>
        <v>-2.9031700000000003</v>
      </c>
      <c r="L30">
        <f>$A28*M$4-Wing_Layout!$F$10</f>
        <v>13.90554</v>
      </c>
      <c r="M30">
        <f t="shared" si="1"/>
        <v>3.0043420000000003</v>
      </c>
      <c r="O30">
        <f>$A28*P$4-Wing_Layout!$F$11</f>
        <v>17.09868</v>
      </c>
      <c r="P30">
        <f t="shared" si="2"/>
        <v>7.361702</v>
      </c>
      <c r="R30">
        <f>$A28*S$4-Wing_Layout!$F$12</f>
        <v>18.46306</v>
      </c>
      <c r="S30">
        <f t="shared" si="3"/>
        <v>12.08858</v>
      </c>
      <c r="U30">
        <f>$A28*V$4-Wing_Layout!$F$13</f>
        <v>19.04525</v>
      </c>
      <c r="V30">
        <f t="shared" si="4"/>
        <v>-3.49175</v>
      </c>
      <c r="X30">
        <f>$A28*Y$4-Wing_Layout!$F$14</f>
        <v>19.62744</v>
      </c>
      <c r="Y30">
        <f t="shared" si="5"/>
        <v>-0.07208000000000014</v>
      </c>
      <c r="AA30">
        <f>$A28*AB$4-Wing_Layout!$F$15</f>
        <v>20.20963</v>
      </c>
      <c r="AB30">
        <f t="shared" si="6"/>
        <v>3.3475900000000003</v>
      </c>
      <c r="AD30">
        <f>$A28*AE$4-Wing_Layout!$F$16</f>
        <v>20.79182</v>
      </c>
      <c r="AE30">
        <f t="shared" si="7"/>
        <v>6.76726</v>
      </c>
      <c r="AG30">
        <f>$A28*AH$4-Wing_Layout!$F$17</f>
        <v>21.665105</v>
      </c>
      <c r="AH30">
        <f t="shared" si="8"/>
        <v>9.646765</v>
      </c>
      <c r="AJ30">
        <f>$A28*AK$4-Wing_Layout!$F$18</f>
        <v>23.020580000000002</v>
      </c>
      <c r="AK30">
        <f t="shared" si="9"/>
        <v>12.44594</v>
      </c>
    </row>
    <row r="31" spans="1:37" ht="12.75">
      <c r="A31">
        <v>0.13895</v>
      </c>
      <c r="B31">
        <v>0.0715</v>
      </c>
      <c r="I31">
        <f>$A29*J$4-Wing_Layout!$F$9</f>
        <v>9.250774999999999</v>
      </c>
      <c r="J31">
        <f t="shared" si="0"/>
        <v>-3.0138400000000005</v>
      </c>
      <c r="L31">
        <f>$A29*M$4-Wing_Layout!$F$10</f>
        <v>12.94062</v>
      </c>
      <c r="M31">
        <f t="shared" si="1"/>
        <v>2.923184</v>
      </c>
      <c r="O31">
        <f>$A29*P$4-Wing_Layout!$F$11</f>
        <v>16.30404</v>
      </c>
      <c r="P31">
        <f t="shared" si="2"/>
        <v>7.297904</v>
      </c>
      <c r="R31">
        <f>$A29*S$4-Wing_Layout!$F$12</f>
        <v>17.72518</v>
      </c>
      <c r="S31">
        <f t="shared" si="3"/>
        <v>12.03216</v>
      </c>
      <c r="U31">
        <f>$A29*V$4-Wing_Layout!$F$13</f>
        <v>18.335749999999997</v>
      </c>
      <c r="V31">
        <f t="shared" si="4"/>
        <v>-3.5460000000000003</v>
      </c>
      <c r="X31">
        <f>$A29*Y$4-Wing_Layout!$F$14</f>
        <v>18.94632</v>
      </c>
      <c r="Y31">
        <f t="shared" si="5"/>
        <v>-0.12416000000000027</v>
      </c>
      <c r="AA31">
        <f>$A29*AB$4-Wing_Layout!$F$15</f>
        <v>19.55689</v>
      </c>
      <c r="AB31">
        <f t="shared" si="6"/>
        <v>3.2976799999999997</v>
      </c>
      <c r="AD31">
        <f>$A29*AE$4-Wing_Layout!$F$16</f>
        <v>20.16746</v>
      </c>
      <c r="AE31">
        <f t="shared" si="7"/>
        <v>6.71952</v>
      </c>
      <c r="AG31">
        <f>$A29*AH$4-Wing_Layout!$F$17</f>
        <v>21.083315</v>
      </c>
      <c r="AH31">
        <f t="shared" si="8"/>
        <v>9.60228</v>
      </c>
      <c r="AJ31">
        <f>$A29*AK$4-Wing_Layout!$F$18</f>
        <v>22.50974</v>
      </c>
      <c r="AK31">
        <f t="shared" si="9"/>
        <v>12.40688</v>
      </c>
    </row>
    <row r="32" spans="1:37" ht="12.75">
      <c r="A32">
        <v>0.11684</v>
      </c>
      <c r="B32">
        <v>0.06715</v>
      </c>
      <c r="I32">
        <f>$A30*J$4-Wing_Layout!$F$9</f>
        <v>8.13345</v>
      </c>
      <c r="J32">
        <f t="shared" si="0"/>
        <v>-3.16531</v>
      </c>
      <c r="L32">
        <f>$A30*M$4-Wing_Layout!$F$10</f>
        <v>12.046759999999999</v>
      </c>
      <c r="M32">
        <f t="shared" si="1"/>
        <v>2.8121060000000004</v>
      </c>
      <c r="O32">
        <f>$A30*P$4-Wing_Layout!$F$11</f>
        <v>15.56792</v>
      </c>
      <c r="P32">
        <f t="shared" si="2"/>
        <v>7.210586</v>
      </c>
      <c r="R32">
        <f>$A30*S$4-Wing_Layout!$F$12</f>
        <v>17.04164</v>
      </c>
      <c r="S32">
        <f t="shared" si="3"/>
        <v>11.95494</v>
      </c>
      <c r="U32">
        <f>$A30*V$4-Wing_Layout!$F$13</f>
        <v>17.6785</v>
      </c>
      <c r="V32">
        <f t="shared" si="4"/>
        <v>-3.6202499999999995</v>
      </c>
      <c r="X32">
        <f>$A30*Y$4-Wing_Layout!$F$14</f>
        <v>18.315360000000002</v>
      </c>
      <c r="Y32">
        <f t="shared" si="5"/>
        <v>-0.19543999999999984</v>
      </c>
      <c r="AA32">
        <f>$A30*AB$4-Wing_Layout!$F$15</f>
        <v>18.95222</v>
      </c>
      <c r="AB32">
        <f t="shared" si="6"/>
        <v>3.2293700000000003</v>
      </c>
      <c r="AD32">
        <f>$A30*AE$4-Wing_Layout!$F$16</f>
        <v>19.58908</v>
      </c>
      <c r="AE32">
        <f t="shared" si="7"/>
        <v>6.65418</v>
      </c>
      <c r="AG32">
        <f>$A30*AH$4-Wing_Layout!$F$17</f>
        <v>20.54437</v>
      </c>
      <c r="AH32">
        <f t="shared" si="8"/>
        <v>9.541395</v>
      </c>
      <c r="AJ32">
        <f>$A30*AK$4-Wing_Layout!$F$18</f>
        <v>22.036520000000003</v>
      </c>
      <c r="AK32">
        <f t="shared" si="9"/>
        <v>12.35342</v>
      </c>
    </row>
    <row r="33" spans="1:37" ht="12.75">
      <c r="A33">
        <v>0.09679</v>
      </c>
      <c r="B33">
        <v>0.06222</v>
      </c>
      <c r="I33">
        <f>$A31*J$4-Wing_Layout!$F$9</f>
        <v>7.1053749999999996</v>
      </c>
      <c r="J33">
        <f t="shared" si="0"/>
        <v>-3.3535000000000004</v>
      </c>
      <c r="L33">
        <f>$A31*M$4-Wing_Layout!$F$10</f>
        <v>11.2243</v>
      </c>
      <c r="M33">
        <f t="shared" si="1"/>
        <v>2.6741</v>
      </c>
      <c r="O33">
        <f>$A31*P$4-Wing_Layout!$F$11</f>
        <v>14.8906</v>
      </c>
      <c r="P33">
        <f t="shared" si="2"/>
        <v>7.1021</v>
      </c>
      <c r="R33">
        <f>$A31*S$4-Wing_Layout!$F$12</f>
        <v>16.4127</v>
      </c>
      <c r="S33">
        <f t="shared" si="3"/>
        <v>11.859</v>
      </c>
      <c r="U33">
        <f>$A31*V$4-Wing_Layout!$F$13</f>
        <v>17.07375</v>
      </c>
      <c r="V33">
        <f t="shared" si="4"/>
        <v>-3.7125000000000004</v>
      </c>
      <c r="X33">
        <f>$A31*Y$4-Wing_Layout!$F$14</f>
        <v>17.7348</v>
      </c>
      <c r="Y33">
        <f t="shared" si="5"/>
        <v>-0.28400000000000025</v>
      </c>
      <c r="AA33">
        <f>$A31*AB$4-Wing_Layout!$F$15</f>
        <v>18.39585</v>
      </c>
      <c r="AB33">
        <f t="shared" si="6"/>
        <v>3.1445</v>
      </c>
      <c r="AD33">
        <f>$A31*AE$4-Wing_Layout!$F$16</f>
        <v>19.0569</v>
      </c>
      <c r="AE33">
        <f t="shared" si="7"/>
        <v>6.573</v>
      </c>
      <c r="AG33">
        <f>$A31*AH$4-Wing_Layout!$F$17</f>
        <v>20.048475</v>
      </c>
      <c r="AH33">
        <f t="shared" si="8"/>
        <v>9.46575</v>
      </c>
      <c r="AJ33">
        <f>$A31*AK$4-Wing_Layout!$F$18</f>
        <v>21.601100000000002</v>
      </c>
      <c r="AK33">
        <f t="shared" si="9"/>
        <v>12.286999999999999</v>
      </c>
    </row>
    <row r="34" spans="1:37" ht="12.75">
      <c r="A34">
        <v>0.07879</v>
      </c>
      <c r="B34">
        <v>0.05677</v>
      </c>
      <c r="I34">
        <f>$A32*J$4-Wing_Layout!$F$9</f>
        <v>6.1657</v>
      </c>
      <c r="J34">
        <f t="shared" si="0"/>
        <v>-3.5753500000000003</v>
      </c>
      <c r="L34">
        <f>$A32*M$4-Wing_Layout!$F$10</f>
        <v>10.47256</v>
      </c>
      <c r="M34">
        <f t="shared" si="1"/>
        <v>2.5114100000000006</v>
      </c>
      <c r="O34">
        <f>$A32*P$4-Wing_Layout!$F$11</f>
        <v>14.271519999999999</v>
      </c>
      <c r="P34">
        <f t="shared" si="2"/>
        <v>6.97421</v>
      </c>
      <c r="R34">
        <f>$A32*S$4-Wing_Layout!$F$12</f>
        <v>15.83784</v>
      </c>
      <c r="S34">
        <f t="shared" si="3"/>
        <v>11.7459</v>
      </c>
      <c r="U34">
        <f>$A32*V$4-Wing_Layout!$F$13</f>
        <v>16.521</v>
      </c>
      <c r="V34">
        <f t="shared" si="4"/>
        <v>-3.82125</v>
      </c>
      <c r="X34">
        <f>$A32*Y$4-Wing_Layout!$F$14</f>
        <v>17.20416</v>
      </c>
      <c r="Y34">
        <f t="shared" si="5"/>
        <v>-0.38839999999999986</v>
      </c>
      <c r="AA34">
        <f>$A32*AB$4-Wing_Layout!$F$15</f>
        <v>17.88732</v>
      </c>
      <c r="AB34">
        <f t="shared" si="6"/>
        <v>3.0444500000000003</v>
      </c>
      <c r="AD34">
        <f>$A32*AE$4-Wing_Layout!$F$16</f>
        <v>18.57048</v>
      </c>
      <c r="AE34">
        <f t="shared" si="7"/>
        <v>6.4773</v>
      </c>
      <c r="AG34">
        <f>$A32*AH$4-Wing_Layout!$F$17</f>
        <v>19.595219999999998</v>
      </c>
      <c r="AH34">
        <f t="shared" si="8"/>
        <v>9.376575</v>
      </c>
      <c r="AJ34">
        <f>$A32*AK$4-Wing_Layout!$F$18</f>
        <v>21.203120000000002</v>
      </c>
      <c r="AK34">
        <f t="shared" si="9"/>
        <v>12.2087</v>
      </c>
    </row>
    <row r="35" spans="1:37" ht="12.75">
      <c r="A35">
        <v>0.06284</v>
      </c>
      <c r="B35">
        <v>0.05089</v>
      </c>
      <c r="I35">
        <f>$A33*J$4-Wing_Layout!$F$9</f>
        <v>5.313575</v>
      </c>
      <c r="J35">
        <f t="shared" si="0"/>
        <v>-3.8267800000000003</v>
      </c>
      <c r="L35">
        <f>$A33*M$4-Wing_Layout!$F$10</f>
        <v>9.79086</v>
      </c>
      <c r="M35">
        <f t="shared" si="1"/>
        <v>2.3270280000000003</v>
      </c>
      <c r="O35">
        <f>$A33*P$4-Wing_Layout!$F$11</f>
        <v>13.71012</v>
      </c>
      <c r="P35">
        <f t="shared" si="2"/>
        <v>6.829268</v>
      </c>
      <c r="R35">
        <f>$A33*S$4-Wing_Layout!$F$12</f>
        <v>15.31654</v>
      </c>
      <c r="S35">
        <f t="shared" si="3"/>
        <v>11.61772</v>
      </c>
      <c r="U35">
        <f>$A33*V$4-Wing_Layout!$F$13</f>
        <v>16.01975</v>
      </c>
      <c r="V35">
        <f t="shared" si="4"/>
        <v>-3.9445</v>
      </c>
      <c r="X35">
        <f>$A33*Y$4-Wing_Layout!$F$14</f>
        <v>16.72296</v>
      </c>
      <c r="Y35">
        <f t="shared" si="5"/>
        <v>-0.5067200000000001</v>
      </c>
      <c r="AA35">
        <f>$A33*AB$4-Wing_Layout!$F$15</f>
        <v>17.42617</v>
      </c>
      <c r="AB35">
        <f t="shared" si="6"/>
        <v>2.93106</v>
      </c>
      <c r="AD35">
        <f>$A33*AE$4-Wing_Layout!$F$16</f>
        <v>18.12938</v>
      </c>
      <c r="AE35">
        <f t="shared" si="7"/>
        <v>6.3688400000000005</v>
      </c>
      <c r="AG35">
        <f>$A33*AH$4-Wing_Layout!$F$17</f>
        <v>19.184195</v>
      </c>
      <c r="AH35">
        <f t="shared" si="8"/>
        <v>9.27551</v>
      </c>
      <c r="AJ35">
        <f>$A33*AK$4-Wing_Layout!$F$18</f>
        <v>20.84222</v>
      </c>
      <c r="AK35">
        <f t="shared" si="9"/>
        <v>12.119959999999999</v>
      </c>
    </row>
    <row r="36" spans="1:37" ht="12.75">
      <c r="A36">
        <v>0.04888</v>
      </c>
      <c r="B36">
        <v>0.0447</v>
      </c>
      <c r="I36">
        <f>$A34*J$4-Wing_Layout!$F$9</f>
        <v>4.548575</v>
      </c>
      <c r="J36">
        <f t="shared" si="0"/>
        <v>-4.10473</v>
      </c>
      <c r="L36">
        <f>$A34*M$4-Wing_Layout!$F$10</f>
        <v>9.17886</v>
      </c>
      <c r="M36">
        <f t="shared" si="1"/>
        <v>2.1231980000000004</v>
      </c>
      <c r="O36">
        <f>$A34*P$4-Wing_Layout!$F$11</f>
        <v>13.20612</v>
      </c>
      <c r="P36">
        <f t="shared" si="2"/>
        <v>6.6690380000000005</v>
      </c>
      <c r="R36">
        <f>$A34*S$4-Wing_Layout!$F$12</f>
        <v>14.84854</v>
      </c>
      <c r="S36">
        <f t="shared" si="3"/>
        <v>11.47602</v>
      </c>
      <c r="U36">
        <f>$A34*V$4-Wing_Layout!$F$13</f>
        <v>15.569749999999999</v>
      </c>
      <c r="V36">
        <f t="shared" si="4"/>
        <v>-4.08075</v>
      </c>
      <c r="X36">
        <f>$A34*Y$4-Wing_Layout!$F$14</f>
        <v>16.290960000000002</v>
      </c>
      <c r="Y36">
        <f t="shared" si="5"/>
        <v>-0.6375199999999999</v>
      </c>
      <c r="AA36">
        <f>$A34*AB$4-Wing_Layout!$F$15</f>
        <v>17.012169999999998</v>
      </c>
      <c r="AB36">
        <f t="shared" si="6"/>
        <v>2.80571</v>
      </c>
      <c r="AD36">
        <f>$A34*AE$4-Wing_Layout!$F$16</f>
        <v>17.73338</v>
      </c>
      <c r="AE36">
        <f t="shared" si="7"/>
        <v>6.24894</v>
      </c>
      <c r="AG36">
        <f>$A34*AH$4-Wing_Layout!$F$17</f>
        <v>18.815195</v>
      </c>
      <c r="AH36">
        <f t="shared" si="8"/>
        <v>9.163785</v>
      </c>
      <c r="AJ36">
        <f>$A34*AK$4-Wing_Layout!$F$18</f>
        <v>20.518220000000003</v>
      </c>
      <c r="AK36">
        <f t="shared" si="9"/>
        <v>12.02186</v>
      </c>
    </row>
    <row r="37" spans="1:37" ht="12.75">
      <c r="A37">
        <v>0.03683</v>
      </c>
      <c r="B37">
        <v>0.03831</v>
      </c>
      <c r="I37">
        <f>$A35*J$4-Wing_Layout!$F$9</f>
        <v>3.8706999999999994</v>
      </c>
      <c r="J37">
        <f t="shared" si="0"/>
        <v>-4.40461</v>
      </c>
      <c r="L37">
        <f>$A35*M$4-Wing_Layout!$F$10</f>
        <v>8.63656</v>
      </c>
      <c r="M37">
        <f t="shared" si="1"/>
        <v>1.903286</v>
      </c>
      <c r="O37">
        <f>$A35*P$4-Wing_Layout!$F$11</f>
        <v>12.75952</v>
      </c>
      <c r="P37">
        <f t="shared" si="2"/>
        <v>6.4961660000000006</v>
      </c>
      <c r="R37">
        <f>$A35*S$4-Wing_Layout!$F$12</f>
        <v>14.43384</v>
      </c>
      <c r="S37">
        <f t="shared" si="3"/>
        <v>11.32314</v>
      </c>
      <c r="U37">
        <f>$A35*V$4-Wing_Layout!$F$13</f>
        <v>15.171</v>
      </c>
      <c r="V37">
        <f t="shared" si="4"/>
        <v>-4.22775</v>
      </c>
      <c r="X37">
        <f>$A35*Y$4-Wing_Layout!$F$14</f>
        <v>15.90816</v>
      </c>
      <c r="Y37">
        <f t="shared" si="5"/>
        <v>-0.77864</v>
      </c>
      <c r="AA37">
        <f>$A35*AB$4-Wing_Layout!$F$15</f>
        <v>16.645319999999998</v>
      </c>
      <c r="AB37">
        <f t="shared" si="6"/>
        <v>2.67047</v>
      </c>
      <c r="AD37">
        <f>$A35*AE$4-Wing_Layout!$F$16</f>
        <v>17.38248</v>
      </c>
      <c r="AE37">
        <f t="shared" si="7"/>
        <v>6.11958</v>
      </c>
      <c r="AG37">
        <f>$A35*AH$4-Wing_Layout!$F$17</f>
        <v>18.48822</v>
      </c>
      <c r="AH37">
        <f t="shared" si="8"/>
        <v>9.043245</v>
      </c>
      <c r="AJ37">
        <f>$A35*AK$4-Wing_Layout!$F$18</f>
        <v>20.23112</v>
      </c>
      <c r="AK37">
        <f t="shared" si="9"/>
        <v>11.91602</v>
      </c>
    </row>
    <row r="38" spans="1:37" ht="12.75">
      <c r="A38">
        <v>0.02662</v>
      </c>
      <c r="B38">
        <v>0.03188</v>
      </c>
      <c r="I38">
        <f>$A36*J$4-Wing_Layout!$F$9</f>
        <v>3.2774</v>
      </c>
      <c r="J38">
        <f t="shared" si="0"/>
        <v>-4.7203</v>
      </c>
      <c r="L38">
        <f>$A36*M$4-Wing_Layout!$F$10</f>
        <v>8.16192</v>
      </c>
      <c r="M38">
        <f t="shared" si="1"/>
        <v>1.67178</v>
      </c>
      <c r="O38">
        <f>$A36*P$4-Wing_Layout!$F$11</f>
        <v>12.36864</v>
      </c>
      <c r="P38">
        <f t="shared" si="2"/>
        <v>6.31418</v>
      </c>
      <c r="R38">
        <f>$A36*S$4-Wing_Layout!$F$12</f>
        <v>14.07088</v>
      </c>
      <c r="S38">
        <f t="shared" si="3"/>
        <v>11.1622</v>
      </c>
      <c r="U38">
        <f>$A36*V$4-Wing_Layout!$F$13</f>
        <v>14.822</v>
      </c>
      <c r="V38">
        <f t="shared" si="4"/>
        <v>-4.3825</v>
      </c>
      <c r="X38">
        <f>$A36*Y$4-Wing_Layout!$F$14</f>
        <v>15.57312</v>
      </c>
      <c r="Y38">
        <f t="shared" si="5"/>
        <v>-0.9272</v>
      </c>
      <c r="AA38">
        <f>$A36*AB$4-Wing_Layout!$F$15</f>
        <v>16.32424</v>
      </c>
      <c r="AB38">
        <f t="shared" si="6"/>
        <v>2.5281000000000002</v>
      </c>
      <c r="AD38">
        <f>$A36*AE$4-Wing_Layout!$F$16</f>
        <v>17.07536</v>
      </c>
      <c r="AE38">
        <f t="shared" si="7"/>
        <v>5.9834</v>
      </c>
      <c r="AG38">
        <f>$A36*AH$4-Wing_Layout!$F$17</f>
        <v>18.20204</v>
      </c>
      <c r="AH38">
        <f t="shared" si="8"/>
        <v>8.91635</v>
      </c>
      <c r="AJ38">
        <f>$A36*AK$4-Wing_Layout!$F$18</f>
        <v>19.979840000000003</v>
      </c>
      <c r="AK38">
        <f t="shared" si="9"/>
        <v>11.8046</v>
      </c>
    </row>
    <row r="39" spans="1:37" ht="12.75">
      <c r="A39">
        <v>0.01818</v>
      </c>
      <c r="B39">
        <v>0.02555</v>
      </c>
      <c r="I39">
        <f>$A37*J$4-Wing_Layout!$F$9</f>
        <v>2.765275</v>
      </c>
      <c r="J39">
        <f aca="true" t="shared" si="10" ref="J39:J70">$B37*J$5*J$4+J$6</f>
        <v>-5.04619</v>
      </c>
      <c r="L39">
        <f>$A37*M$4-Wing_Layout!$F$10</f>
        <v>7.75222</v>
      </c>
      <c r="M39">
        <f aca="true" t="shared" si="11" ref="M39:M70">$B37*M$5*M$4+M$6</f>
        <v>1.432794</v>
      </c>
      <c r="O39">
        <f>$A37*P$4-Wing_Layout!$F$11</f>
        <v>12.03124</v>
      </c>
      <c r="P39">
        <f aca="true" t="shared" si="12" ref="P39:P70">$B37*P$5*P$4+P$6</f>
        <v>6.126314</v>
      </c>
      <c r="R39">
        <f>$A37*S$4-Wing_Layout!$F$12</f>
        <v>13.75758</v>
      </c>
      <c r="S39">
        <f aca="true" t="shared" si="13" ref="S39:S70">$B37*S$5*S$4+S$6</f>
        <v>10.99606</v>
      </c>
      <c r="U39">
        <f>$A37*V$4-Wing_Layout!$F$13</f>
        <v>14.52075</v>
      </c>
      <c r="V39">
        <f aca="true" t="shared" si="14" ref="V39:V70">$B37*V$5*V$4+V$6</f>
        <v>-4.54225</v>
      </c>
      <c r="X39">
        <f>$A37*Y$4-Wing_Layout!$F$14</f>
        <v>15.28392</v>
      </c>
      <c r="Y39">
        <f aca="true" t="shared" si="15" ref="Y39:Y70">$B37*Y$5*Y$4+Y$6</f>
        <v>-1.0805600000000002</v>
      </c>
      <c r="AA39">
        <f>$A37*AB$4-Wing_Layout!$F$15</f>
        <v>16.04709</v>
      </c>
      <c r="AB39">
        <f aca="true" t="shared" si="16" ref="AB39:AB70">$B37*AB$5*AB$4+AB$6</f>
        <v>2.3811299999999997</v>
      </c>
      <c r="AD39">
        <f>$A37*AE$4-Wing_Layout!$F$16</f>
        <v>16.81026</v>
      </c>
      <c r="AE39">
        <f aca="true" t="shared" si="17" ref="AE39:AE70">$B37*AE$5*AE$4+AE$6</f>
        <v>5.84282</v>
      </c>
      <c r="AG39">
        <f>$A37*AH$4-Wing_Layout!$F$17</f>
        <v>17.955015</v>
      </c>
      <c r="AH39">
        <f aca="true" t="shared" si="18" ref="AH39:AH70">$B37*AH$5*AH$4+AH$6</f>
        <v>8.785355</v>
      </c>
      <c r="AJ39">
        <f>$A37*AK$4-Wing_Layout!$F$18</f>
        <v>19.76294</v>
      </c>
      <c r="AK39">
        <f aca="true" t="shared" si="19" ref="AK39:AK70">$B37*AK$5*AK$4+AK$6</f>
        <v>11.68958</v>
      </c>
    </row>
    <row r="40" spans="1:37" ht="12.75">
      <c r="A40">
        <v>0.01144</v>
      </c>
      <c r="B40">
        <v>0.01943</v>
      </c>
      <c r="I40">
        <f>$A38*J$4-Wing_Layout!$F$9</f>
        <v>2.33135</v>
      </c>
      <c r="J40">
        <f t="shared" si="10"/>
        <v>-5.37412</v>
      </c>
      <c r="L40">
        <f>$A38*M$4-Wing_Layout!$F$10</f>
        <v>7.40508</v>
      </c>
      <c r="M40">
        <f t="shared" si="11"/>
        <v>1.192312</v>
      </c>
      <c r="O40">
        <f>$A38*P$4-Wing_Layout!$F$11</f>
        <v>11.74536</v>
      </c>
      <c r="P40">
        <f t="shared" si="12"/>
        <v>5.937272</v>
      </c>
      <c r="R40">
        <f>$A38*S$4-Wing_Layout!$F$12</f>
        <v>13.49212</v>
      </c>
      <c r="S40">
        <f t="shared" si="13"/>
        <v>10.82888</v>
      </c>
      <c r="U40">
        <f>$A38*V$4-Wing_Layout!$F$13</f>
        <v>14.2655</v>
      </c>
      <c r="V40">
        <f t="shared" si="14"/>
        <v>-4.703</v>
      </c>
      <c r="X40">
        <f>$A38*Y$4-Wing_Layout!$F$14</f>
        <v>15.03888</v>
      </c>
      <c r="Y40">
        <f t="shared" si="15"/>
        <v>-1.23488</v>
      </c>
      <c r="AA40">
        <f>$A38*AB$4-Wing_Layout!$F$15</f>
        <v>15.812259999999998</v>
      </c>
      <c r="AB40">
        <f t="shared" si="16"/>
        <v>2.23324</v>
      </c>
      <c r="AD40">
        <f>$A38*AE$4-Wing_Layout!$F$16</f>
        <v>16.58564</v>
      </c>
      <c r="AE40">
        <f t="shared" si="17"/>
        <v>5.70136</v>
      </c>
      <c r="AG40">
        <f>$A38*AH$4-Wing_Layout!$F$17</f>
        <v>17.74571</v>
      </c>
      <c r="AH40">
        <f t="shared" si="18"/>
        <v>8.65354</v>
      </c>
      <c r="AJ40">
        <f>$A38*AK$4-Wing_Layout!$F$18</f>
        <v>19.57916</v>
      </c>
      <c r="AK40">
        <f t="shared" si="19"/>
        <v>11.57384</v>
      </c>
    </row>
    <row r="41" spans="1:37" ht="12.75">
      <c r="A41">
        <v>0.00633</v>
      </c>
      <c r="B41">
        <v>0.01369</v>
      </c>
      <c r="I41">
        <f>$A39*J$4-Wing_Layout!$F$9</f>
        <v>1.97265</v>
      </c>
      <c r="J41">
        <f t="shared" si="10"/>
        <v>-5.69695</v>
      </c>
      <c r="L41">
        <f>$A39*M$4-Wing_Layout!$F$10</f>
        <v>7.11812</v>
      </c>
      <c r="M41">
        <f t="shared" si="11"/>
        <v>0.95557</v>
      </c>
      <c r="O41">
        <f>$A39*P$4-Wing_Layout!$F$11</f>
        <v>11.50904</v>
      </c>
      <c r="P41">
        <f t="shared" si="12"/>
        <v>5.75117</v>
      </c>
      <c r="R41">
        <f>$A39*S$4-Wing_Layout!$F$12</f>
        <v>13.272680000000001</v>
      </c>
      <c r="S41">
        <f t="shared" si="13"/>
        <v>10.6643</v>
      </c>
      <c r="U41">
        <f>$A39*V$4-Wing_Layout!$F$13</f>
        <v>14.054499999999999</v>
      </c>
      <c r="V41">
        <f t="shared" si="14"/>
        <v>-4.86125</v>
      </c>
      <c r="X41">
        <f>$A39*Y$4-Wing_Layout!$F$14</f>
        <v>14.83632</v>
      </c>
      <c r="Y41">
        <f t="shared" si="15"/>
        <v>-1.3868</v>
      </c>
      <c r="AA41">
        <f>$A39*AB$4-Wing_Layout!$F$15</f>
        <v>15.618139999999999</v>
      </c>
      <c r="AB41">
        <f t="shared" si="16"/>
        <v>2.08765</v>
      </c>
      <c r="AD41">
        <f>$A39*AE$4-Wing_Layout!$F$16</f>
        <v>16.39996</v>
      </c>
      <c r="AE41">
        <f t="shared" si="17"/>
        <v>5.5621</v>
      </c>
      <c r="AG41">
        <f>$A39*AH$4-Wing_Layout!$F$17</f>
        <v>17.572689999999998</v>
      </c>
      <c r="AH41">
        <f t="shared" si="18"/>
        <v>8.523775</v>
      </c>
      <c r="AJ41">
        <f>$A39*AK$4-Wing_Layout!$F$18</f>
        <v>19.42724</v>
      </c>
      <c r="AK41">
        <f t="shared" si="19"/>
        <v>11.4599</v>
      </c>
    </row>
    <row r="42" spans="1:37" ht="12.75">
      <c r="A42">
        <v>0.00276</v>
      </c>
      <c r="B42">
        <v>0.00844</v>
      </c>
      <c r="I42">
        <f>$A40*J$4-Wing_Layout!$F$9</f>
        <v>1.6862</v>
      </c>
      <c r="J42">
        <f t="shared" si="10"/>
        <v>-6.00907</v>
      </c>
      <c r="L42">
        <f>$A40*M$4-Wing_Layout!$F$10</f>
        <v>6.88896</v>
      </c>
      <c r="M42">
        <f t="shared" si="11"/>
        <v>0.7266819999999999</v>
      </c>
      <c r="O42">
        <f>$A40*P$4-Wing_Layout!$F$11</f>
        <v>11.32032</v>
      </c>
      <c r="P42">
        <f t="shared" si="12"/>
        <v>5.571242</v>
      </c>
      <c r="R42">
        <f>$A40*S$4-Wing_Layout!$F$12</f>
        <v>13.09744</v>
      </c>
      <c r="S42">
        <f t="shared" si="13"/>
        <v>10.50518</v>
      </c>
      <c r="U42">
        <f>$A40*V$4-Wing_Layout!$F$13</f>
        <v>13.886</v>
      </c>
      <c r="V42">
        <f t="shared" si="14"/>
        <v>-5.01425</v>
      </c>
      <c r="X42">
        <f>$A40*Y$4-Wing_Layout!$F$14</f>
        <v>14.67456</v>
      </c>
      <c r="Y42">
        <f t="shared" si="15"/>
        <v>-1.53368</v>
      </c>
      <c r="AA42">
        <f>$A40*AB$4-Wing_Layout!$F$15</f>
        <v>15.46312</v>
      </c>
      <c r="AB42">
        <f t="shared" si="16"/>
        <v>1.94689</v>
      </c>
      <c r="AD42">
        <f>$A40*AE$4-Wing_Layout!$F$16</f>
        <v>16.25168</v>
      </c>
      <c r="AE42">
        <f t="shared" si="17"/>
        <v>5.42746</v>
      </c>
      <c r="AG42">
        <f>$A40*AH$4-Wing_Layout!$F$17</f>
        <v>17.43452</v>
      </c>
      <c r="AH42">
        <f t="shared" si="18"/>
        <v>8.398315</v>
      </c>
      <c r="AJ42">
        <f>$A40*AK$4-Wing_Layout!$F$18</f>
        <v>19.30592</v>
      </c>
      <c r="AK42">
        <f t="shared" si="19"/>
        <v>11.34974</v>
      </c>
    </row>
    <row r="43" spans="1:37" ht="12.75">
      <c r="A43">
        <v>0.00068</v>
      </c>
      <c r="B43">
        <v>0.00384</v>
      </c>
      <c r="I43">
        <f>$A41*J$4-Wing_Layout!$F$9</f>
        <v>1.469025</v>
      </c>
      <c r="J43">
        <f t="shared" si="10"/>
        <v>-6.30181</v>
      </c>
      <c r="L43">
        <f>$A41*M$4-Wing_Layout!$F$10</f>
        <v>6.71522</v>
      </c>
      <c r="M43">
        <f t="shared" si="11"/>
        <v>0.5120060000000001</v>
      </c>
      <c r="O43">
        <f>$A41*P$4-Wing_Layout!$F$11</f>
        <v>11.17724</v>
      </c>
      <c r="P43">
        <f t="shared" si="12"/>
        <v>5.402486</v>
      </c>
      <c r="R43">
        <f>$A41*S$4-Wing_Layout!$F$12</f>
        <v>12.964580000000002</v>
      </c>
      <c r="S43">
        <f t="shared" si="13"/>
        <v>10.35594</v>
      </c>
      <c r="U43">
        <f>$A41*V$4-Wing_Layout!$F$13</f>
        <v>13.75825</v>
      </c>
      <c r="V43">
        <f t="shared" si="14"/>
        <v>-5.15775</v>
      </c>
      <c r="X43">
        <f>$A41*Y$4-Wing_Layout!$F$14</f>
        <v>14.55192</v>
      </c>
      <c r="Y43">
        <f t="shared" si="15"/>
        <v>-1.67144</v>
      </c>
      <c r="AA43">
        <f>$A41*AB$4-Wing_Layout!$F$15</f>
        <v>15.34559</v>
      </c>
      <c r="AB43">
        <f t="shared" si="16"/>
        <v>1.81487</v>
      </c>
      <c r="AD43">
        <f>$A41*AE$4-Wing_Layout!$F$16</f>
        <v>16.13926</v>
      </c>
      <c r="AE43">
        <f t="shared" si="17"/>
        <v>5.3011800000000004</v>
      </c>
      <c r="AG43">
        <f>$A41*AH$4-Wing_Layout!$F$17</f>
        <v>17.329765</v>
      </c>
      <c r="AH43">
        <f t="shared" si="18"/>
        <v>8.280645</v>
      </c>
      <c r="AJ43">
        <f>$A41*AK$4-Wing_Layout!$F$18</f>
        <v>19.21394</v>
      </c>
      <c r="AK43">
        <f t="shared" si="19"/>
        <v>11.24642</v>
      </c>
    </row>
    <row r="44" spans="1:37" ht="12.75">
      <c r="A44">
        <v>0</v>
      </c>
      <c r="B44">
        <v>0</v>
      </c>
      <c r="I44">
        <f>$A42*J$4-Wing_Layout!$F$9</f>
        <v>1.3173</v>
      </c>
      <c r="J44">
        <f t="shared" si="10"/>
        <v>-6.56956</v>
      </c>
      <c r="L44">
        <f>$A42*M$4-Wing_Layout!$F$10</f>
        <v>6.59384</v>
      </c>
      <c r="M44">
        <f t="shared" si="11"/>
        <v>0.31565600000000005</v>
      </c>
      <c r="O44">
        <f>$A42*P$4-Wing_Layout!$F$11</f>
        <v>11.07728</v>
      </c>
      <c r="P44">
        <f t="shared" si="12"/>
        <v>5.248136</v>
      </c>
      <c r="R44">
        <f>$A42*S$4-Wing_Layout!$F$12</f>
        <v>12.87176</v>
      </c>
      <c r="S44">
        <f t="shared" si="13"/>
        <v>10.21944</v>
      </c>
      <c r="U44">
        <f>$A42*V$4-Wing_Layout!$F$13</f>
        <v>13.669</v>
      </c>
      <c r="V44">
        <f t="shared" si="14"/>
        <v>-5.289</v>
      </c>
      <c r="X44">
        <f>$A42*Y$4-Wing_Layout!$F$14</f>
        <v>14.46624</v>
      </c>
      <c r="Y44">
        <f t="shared" si="15"/>
        <v>-1.79744</v>
      </c>
      <c r="AA44">
        <f>$A42*AB$4-Wing_Layout!$F$15</f>
        <v>15.26348</v>
      </c>
      <c r="AB44">
        <f t="shared" si="16"/>
        <v>1.69412</v>
      </c>
      <c r="AD44">
        <f>$A42*AE$4-Wing_Layout!$F$16</f>
        <v>16.06072</v>
      </c>
      <c r="AE44">
        <f t="shared" si="17"/>
        <v>5.18568</v>
      </c>
      <c r="AG44">
        <f>$A42*AH$4-Wing_Layout!$F$17</f>
        <v>17.25658</v>
      </c>
      <c r="AH44">
        <f t="shared" si="18"/>
        <v>8.17302</v>
      </c>
      <c r="AJ44">
        <f>$A42*AK$4-Wing_Layout!$F$18</f>
        <v>19.14968</v>
      </c>
      <c r="AK44">
        <f t="shared" si="19"/>
        <v>11.15192</v>
      </c>
    </row>
    <row r="45" spans="1:37" ht="12.75">
      <c r="A45">
        <v>0.00029</v>
      </c>
      <c r="B45">
        <v>-0.0027</v>
      </c>
      <c r="I45">
        <f>$A43*J$4-Wing_Layout!$F$9</f>
        <v>1.2288999999999999</v>
      </c>
      <c r="J45">
        <f t="shared" si="10"/>
        <v>-6.8041599999999995</v>
      </c>
      <c r="L45">
        <f>$A43*M$4-Wing_Layout!$F$10</f>
        <v>6.52312</v>
      </c>
      <c r="M45">
        <f t="shared" si="11"/>
        <v>0.14361600000000002</v>
      </c>
      <c r="O45">
        <f>$A43*P$4-Wing_Layout!$F$11</f>
        <v>11.01904</v>
      </c>
      <c r="P45">
        <f t="shared" si="12"/>
        <v>5.112896</v>
      </c>
      <c r="R45">
        <f>$A43*S$4-Wing_Layout!$F$12</f>
        <v>12.817680000000001</v>
      </c>
      <c r="S45">
        <f t="shared" si="13"/>
        <v>10.09984</v>
      </c>
      <c r="U45">
        <f>$A43*V$4-Wing_Layout!$F$13</f>
        <v>13.616999999999999</v>
      </c>
      <c r="V45">
        <f t="shared" si="14"/>
        <v>-5.404</v>
      </c>
      <c r="X45">
        <f>$A43*Y$4-Wing_Layout!$F$14</f>
        <v>14.41632</v>
      </c>
      <c r="Y45">
        <f t="shared" si="15"/>
        <v>-1.90784</v>
      </c>
      <c r="AA45">
        <f>$A43*AB$4-Wing_Layout!$F$15</f>
        <v>15.215639999999999</v>
      </c>
      <c r="AB45">
        <f t="shared" si="16"/>
        <v>1.58832</v>
      </c>
      <c r="AD45">
        <f>$A43*AE$4-Wing_Layout!$F$16</f>
        <v>16.01496</v>
      </c>
      <c r="AE45">
        <f t="shared" si="17"/>
        <v>5.08448</v>
      </c>
      <c r="AG45">
        <f>$A43*AH$4-Wing_Layout!$F$17</f>
        <v>17.21394</v>
      </c>
      <c r="AH45">
        <f t="shared" si="18"/>
        <v>8.07872</v>
      </c>
      <c r="AJ45">
        <f>$A43*AK$4-Wing_Layout!$F$18</f>
        <v>19.11224</v>
      </c>
      <c r="AK45">
        <f t="shared" si="19"/>
        <v>11.06912</v>
      </c>
    </row>
    <row r="46" spans="1:37" ht="12.75">
      <c r="A46">
        <v>0.00129</v>
      </c>
      <c r="B46">
        <v>-0.00526</v>
      </c>
      <c r="I46">
        <f>$A44*J$4-Wing_Layout!$F$9</f>
        <v>1.2</v>
      </c>
      <c r="J46">
        <f t="shared" si="10"/>
        <v>-7</v>
      </c>
      <c r="L46">
        <f>$A44*M$4-Wing_Layout!$F$10</f>
        <v>6.5</v>
      </c>
      <c r="M46">
        <f t="shared" si="11"/>
        <v>0</v>
      </c>
      <c r="O46">
        <f>$A44*P$4-Wing_Layout!$F$11</f>
        <v>11</v>
      </c>
      <c r="P46">
        <f t="shared" si="12"/>
        <v>5</v>
      </c>
      <c r="R46">
        <f>$A44*S$4-Wing_Layout!$F$12</f>
        <v>12.8</v>
      </c>
      <c r="S46">
        <f t="shared" si="13"/>
        <v>10</v>
      </c>
      <c r="U46">
        <f>$A44*V$4-Wing_Layout!$F$13</f>
        <v>13.6</v>
      </c>
      <c r="V46">
        <f t="shared" si="14"/>
        <v>-5.5</v>
      </c>
      <c r="X46">
        <f>$A44*Y$4-Wing_Layout!$F$14</f>
        <v>14.4</v>
      </c>
      <c r="Y46">
        <f t="shared" si="15"/>
        <v>-2</v>
      </c>
      <c r="AA46">
        <f>$A44*AB$4-Wing_Layout!$F$15</f>
        <v>15.2</v>
      </c>
      <c r="AB46">
        <f t="shared" si="16"/>
        <v>1.5</v>
      </c>
      <c r="AD46">
        <f>$A44*AE$4-Wing_Layout!$F$16</f>
        <v>16</v>
      </c>
      <c r="AE46">
        <f t="shared" si="17"/>
        <v>5</v>
      </c>
      <c r="AG46">
        <f>$A44*AH$4-Wing_Layout!$F$17</f>
        <v>17.2</v>
      </c>
      <c r="AH46">
        <f t="shared" si="18"/>
        <v>8</v>
      </c>
      <c r="AJ46">
        <f>$A44*AK$4-Wing_Layout!$F$18</f>
        <v>19.1</v>
      </c>
      <c r="AK46">
        <f t="shared" si="19"/>
        <v>11</v>
      </c>
    </row>
    <row r="47" spans="1:37" ht="12.75">
      <c r="A47">
        <v>0.00319</v>
      </c>
      <c r="B47">
        <v>-0.00769</v>
      </c>
      <c r="I47">
        <f>$A45*J$4-Wing_Layout!$F$9</f>
        <v>1.2123249999999999</v>
      </c>
      <c r="J47">
        <f t="shared" si="10"/>
        <v>-7.1377</v>
      </c>
      <c r="L47">
        <f>$A45*M$4-Wing_Layout!$F$10</f>
        <v>6.50986</v>
      </c>
      <c r="M47">
        <f t="shared" si="11"/>
        <v>-0.10098000000000001</v>
      </c>
      <c r="O47">
        <f>$A45*P$4-Wing_Layout!$F$11</f>
        <v>11.00812</v>
      </c>
      <c r="P47">
        <f t="shared" si="12"/>
        <v>4.9206199999999995</v>
      </c>
      <c r="R47">
        <f>$A45*S$4-Wing_Layout!$F$12</f>
        <v>12.807540000000001</v>
      </c>
      <c r="S47">
        <f t="shared" si="13"/>
        <v>9.9298</v>
      </c>
      <c r="U47">
        <f>$A45*V$4-Wing_Layout!$F$13</f>
        <v>13.60725</v>
      </c>
      <c r="V47">
        <f t="shared" si="14"/>
        <v>-5.5675</v>
      </c>
      <c r="X47">
        <f>$A45*Y$4-Wing_Layout!$F$14</f>
        <v>14.40696</v>
      </c>
      <c r="Y47">
        <f t="shared" si="15"/>
        <v>-2.0648</v>
      </c>
      <c r="AA47">
        <f>$A45*AB$4-Wing_Layout!$F$15</f>
        <v>15.206669999999999</v>
      </c>
      <c r="AB47">
        <f t="shared" si="16"/>
        <v>1.4379</v>
      </c>
      <c r="AD47">
        <f>$A45*AE$4-Wing_Layout!$F$16</f>
        <v>16.00638</v>
      </c>
      <c r="AE47">
        <f t="shared" si="17"/>
        <v>4.9406</v>
      </c>
      <c r="AG47">
        <f>$A45*AH$4-Wing_Layout!$F$17</f>
        <v>17.205945</v>
      </c>
      <c r="AH47">
        <f t="shared" si="18"/>
        <v>7.94465</v>
      </c>
      <c r="AJ47">
        <f>$A45*AK$4-Wing_Layout!$F$18</f>
        <v>19.105220000000003</v>
      </c>
      <c r="AK47">
        <f t="shared" si="19"/>
        <v>10.9514</v>
      </c>
    </row>
    <row r="48" spans="1:37" ht="12.75">
      <c r="A48">
        <v>0.00622</v>
      </c>
      <c r="B48">
        <v>-0.01</v>
      </c>
      <c r="I48">
        <f>$A46*J$4-Wing_Layout!$F$9</f>
        <v>1.2548249999999999</v>
      </c>
      <c r="J48">
        <f t="shared" si="10"/>
        <v>-7.26826</v>
      </c>
      <c r="L48">
        <f>$A46*M$4-Wing_Layout!$F$10</f>
        <v>6.54386</v>
      </c>
      <c r="M48">
        <f t="shared" si="11"/>
        <v>-0.196724</v>
      </c>
      <c r="O48">
        <f>$A46*P$4-Wing_Layout!$F$11</f>
        <v>11.03612</v>
      </c>
      <c r="P48">
        <f t="shared" si="12"/>
        <v>4.845356</v>
      </c>
      <c r="R48">
        <f>$A46*S$4-Wing_Layout!$F$12</f>
        <v>12.833540000000001</v>
      </c>
      <c r="S48">
        <f t="shared" si="13"/>
        <v>9.86324</v>
      </c>
      <c r="U48">
        <f>$A46*V$4-Wing_Layout!$F$13</f>
        <v>13.632249999999999</v>
      </c>
      <c r="V48">
        <f t="shared" si="14"/>
        <v>-5.6315</v>
      </c>
      <c r="X48">
        <f>$A46*Y$4-Wing_Layout!$F$14</f>
        <v>14.43096</v>
      </c>
      <c r="Y48">
        <f t="shared" si="15"/>
        <v>-2.12624</v>
      </c>
      <c r="AA48">
        <f>$A46*AB$4-Wing_Layout!$F$15</f>
        <v>15.229669999999999</v>
      </c>
      <c r="AB48">
        <f t="shared" si="16"/>
        <v>1.37902</v>
      </c>
      <c r="AD48">
        <f>$A46*AE$4-Wing_Layout!$F$16</f>
        <v>16.02838</v>
      </c>
      <c r="AE48">
        <f t="shared" si="17"/>
        <v>4.88428</v>
      </c>
      <c r="AG48">
        <f>$A46*AH$4-Wing_Layout!$F$17</f>
        <v>17.226445</v>
      </c>
      <c r="AH48">
        <f t="shared" si="18"/>
        <v>7.89217</v>
      </c>
      <c r="AJ48">
        <f>$A46*AK$4-Wing_Layout!$F$18</f>
        <v>19.12322</v>
      </c>
      <c r="AK48">
        <f t="shared" si="19"/>
        <v>10.90532</v>
      </c>
    </row>
    <row r="49" spans="1:37" ht="12.75">
      <c r="A49">
        <v>0.01056</v>
      </c>
      <c r="B49">
        <v>-0.01219</v>
      </c>
      <c r="I49">
        <f>$A47*J$4-Wing_Layout!$F$9</f>
        <v>1.335575</v>
      </c>
      <c r="J49">
        <f t="shared" si="10"/>
        <v>-7.39219</v>
      </c>
      <c r="L49">
        <f>$A47*M$4-Wing_Layout!$F$10</f>
        <v>6.60846</v>
      </c>
      <c r="M49">
        <f t="shared" si="11"/>
        <v>-0.28760600000000003</v>
      </c>
      <c r="O49">
        <f>$A47*P$4-Wing_Layout!$F$11</f>
        <v>11.08932</v>
      </c>
      <c r="P49">
        <f t="shared" si="12"/>
        <v>4.7739139999999995</v>
      </c>
      <c r="R49">
        <f>$A47*S$4-Wing_Layout!$F$12</f>
        <v>12.882940000000001</v>
      </c>
      <c r="S49">
        <f t="shared" si="13"/>
        <v>9.80006</v>
      </c>
      <c r="U49">
        <f>$A47*V$4-Wing_Layout!$F$13</f>
        <v>13.67975</v>
      </c>
      <c r="V49">
        <f t="shared" si="14"/>
        <v>-5.69225</v>
      </c>
      <c r="X49">
        <f>$A47*Y$4-Wing_Layout!$F$14</f>
        <v>14.476560000000001</v>
      </c>
      <c r="Y49">
        <f t="shared" si="15"/>
        <v>-2.18456</v>
      </c>
      <c r="AA49">
        <f>$A47*AB$4-Wing_Layout!$F$15</f>
        <v>15.27337</v>
      </c>
      <c r="AB49">
        <f t="shared" si="16"/>
        <v>1.32313</v>
      </c>
      <c r="AD49">
        <f>$A47*AE$4-Wing_Layout!$F$16</f>
        <v>16.07018</v>
      </c>
      <c r="AE49">
        <f t="shared" si="17"/>
        <v>4.83082</v>
      </c>
      <c r="AG49">
        <f>$A47*AH$4-Wing_Layout!$F$17</f>
        <v>17.265394999999998</v>
      </c>
      <c r="AH49">
        <f t="shared" si="18"/>
        <v>7.842355</v>
      </c>
      <c r="AJ49">
        <f>$A47*AK$4-Wing_Layout!$F$18</f>
        <v>19.157420000000002</v>
      </c>
      <c r="AK49">
        <f t="shared" si="19"/>
        <v>10.86158</v>
      </c>
    </row>
    <row r="50" spans="1:37" ht="12.75">
      <c r="A50">
        <v>0.01641</v>
      </c>
      <c r="B50">
        <v>-0.01429</v>
      </c>
      <c r="I50">
        <f>$A48*J$4-Wing_Layout!$F$9</f>
        <v>1.46435</v>
      </c>
      <c r="J50">
        <f t="shared" si="10"/>
        <v>-7.51</v>
      </c>
      <c r="L50">
        <f>$A48*M$4-Wing_Layout!$F$10</f>
        <v>6.71148</v>
      </c>
      <c r="M50">
        <f t="shared" si="11"/>
        <v>-0.37400000000000005</v>
      </c>
      <c r="O50">
        <f>$A48*P$4-Wing_Layout!$F$11</f>
        <v>11.17416</v>
      </c>
      <c r="P50">
        <f t="shared" si="12"/>
        <v>4.7059999999999995</v>
      </c>
      <c r="R50">
        <f>$A48*S$4-Wing_Layout!$F$12</f>
        <v>12.961720000000001</v>
      </c>
      <c r="S50">
        <f t="shared" si="13"/>
        <v>9.74</v>
      </c>
      <c r="U50">
        <f>$A48*V$4-Wing_Layout!$F$13</f>
        <v>13.7555</v>
      </c>
      <c r="V50">
        <f t="shared" si="14"/>
        <v>-5.75</v>
      </c>
      <c r="X50">
        <f>$A48*Y$4-Wing_Layout!$F$14</f>
        <v>14.54928</v>
      </c>
      <c r="Y50">
        <f t="shared" si="15"/>
        <v>-2.24</v>
      </c>
      <c r="AA50">
        <f>$A48*AB$4-Wing_Layout!$F$15</f>
        <v>15.34306</v>
      </c>
      <c r="AB50">
        <f t="shared" si="16"/>
        <v>1.27</v>
      </c>
      <c r="AD50">
        <f>$A48*AE$4-Wing_Layout!$F$16</f>
        <v>16.13684</v>
      </c>
      <c r="AE50">
        <f t="shared" si="17"/>
        <v>4.78</v>
      </c>
      <c r="AG50">
        <f>$A48*AH$4-Wing_Layout!$F$17</f>
        <v>17.32751</v>
      </c>
      <c r="AH50">
        <f t="shared" si="18"/>
        <v>7.795</v>
      </c>
      <c r="AJ50">
        <f>$A48*AK$4-Wing_Layout!$F$18</f>
        <v>19.21196</v>
      </c>
      <c r="AK50">
        <f t="shared" si="19"/>
        <v>10.82</v>
      </c>
    </row>
    <row r="51" spans="1:37" ht="12.75">
      <c r="A51">
        <v>0.02399</v>
      </c>
      <c r="B51">
        <v>-0.0163</v>
      </c>
      <c r="I51">
        <f>$A49*J$4-Wing_Layout!$F$9</f>
        <v>1.6488</v>
      </c>
      <c r="J51">
        <f t="shared" si="10"/>
        <v>-7.62169</v>
      </c>
      <c r="L51">
        <f>$A49*M$4-Wing_Layout!$F$10</f>
        <v>6.85904</v>
      </c>
      <c r="M51">
        <f t="shared" si="11"/>
        <v>-0.45590600000000003</v>
      </c>
      <c r="O51">
        <f>$A49*P$4-Wing_Layout!$F$11</f>
        <v>11.29568</v>
      </c>
      <c r="P51">
        <f t="shared" si="12"/>
        <v>4.641614</v>
      </c>
      <c r="R51">
        <f>$A49*S$4-Wing_Layout!$F$12</f>
        <v>13.07456</v>
      </c>
      <c r="S51">
        <f t="shared" si="13"/>
        <v>9.68306</v>
      </c>
      <c r="U51">
        <f>$A49*V$4-Wing_Layout!$F$13</f>
        <v>13.863999999999999</v>
      </c>
      <c r="V51">
        <f t="shared" si="14"/>
        <v>-5.80475</v>
      </c>
      <c r="X51">
        <f>$A49*Y$4-Wing_Layout!$F$14</f>
        <v>14.65344</v>
      </c>
      <c r="Y51">
        <f t="shared" si="15"/>
        <v>-2.29256</v>
      </c>
      <c r="AA51">
        <f>$A49*AB$4-Wing_Layout!$F$15</f>
        <v>15.442879999999999</v>
      </c>
      <c r="AB51">
        <f t="shared" si="16"/>
        <v>1.21963</v>
      </c>
      <c r="AD51">
        <f>$A49*AE$4-Wing_Layout!$F$16</f>
        <v>16.23232</v>
      </c>
      <c r="AE51">
        <f t="shared" si="17"/>
        <v>4.73182</v>
      </c>
      <c r="AG51">
        <f>$A49*AH$4-Wing_Layout!$F$17</f>
        <v>17.41648</v>
      </c>
      <c r="AH51">
        <f t="shared" si="18"/>
        <v>7.750105</v>
      </c>
      <c r="AJ51">
        <f>$A49*AK$4-Wing_Layout!$F$18</f>
        <v>19.29008</v>
      </c>
      <c r="AK51">
        <f t="shared" si="19"/>
        <v>10.78058</v>
      </c>
    </row>
    <row r="52" spans="1:37" ht="12.75">
      <c r="A52">
        <v>0.03348</v>
      </c>
      <c r="B52">
        <v>-0.01822</v>
      </c>
      <c r="I52">
        <f>$A50*J$4-Wing_Layout!$F$9</f>
        <v>1.8974250000000001</v>
      </c>
      <c r="J52">
        <f t="shared" si="10"/>
        <v>-7.72879</v>
      </c>
      <c r="L52">
        <f>$A50*M$4-Wing_Layout!$F$10</f>
        <v>7.05794</v>
      </c>
      <c r="M52">
        <f t="shared" si="11"/>
        <v>-0.534446</v>
      </c>
      <c r="O52">
        <f>$A50*P$4-Wing_Layout!$F$11</f>
        <v>11.45948</v>
      </c>
      <c r="P52">
        <f t="shared" si="12"/>
        <v>4.579874</v>
      </c>
      <c r="R52">
        <f>$A50*S$4-Wing_Layout!$F$12</f>
        <v>13.22666</v>
      </c>
      <c r="S52">
        <f t="shared" si="13"/>
        <v>9.62846</v>
      </c>
      <c r="U52">
        <f>$A50*V$4-Wing_Layout!$F$13</f>
        <v>14.01025</v>
      </c>
      <c r="V52">
        <f t="shared" si="14"/>
        <v>-5.85725</v>
      </c>
      <c r="X52">
        <f>$A50*Y$4-Wing_Layout!$F$14</f>
        <v>14.793840000000001</v>
      </c>
      <c r="Y52">
        <f t="shared" si="15"/>
        <v>-2.34296</v>
      </c>
      <c r="AA52">
        <f>$A50*AB$4-Wing_Layout!$F$15</f>
        <v>15.57743</v>
      </c>
      <c r="AB52">
        <f t="shared" si="16"/>
        <v>1.17133</v>
      </c>
      <c r="AD52">
        <f>$A50*AE$4-Wing_Layout!$F$16</f>
        <v>16.36102</v>
      </c>
      <c r="AE52">
        <f t="shared" si="17"/>
        <v>4.68562</v>
      </c>
      <c r="AG52">
        <f>$A50*AH$4-Wing_Layout!$F$17</f>
        <v>17.536405</v>
      </c>
      <c r="AH52">
        <f t="shared" si="18"/>
        <v>7.707055</v>
      </c>
      <c r="AJ52">
        <f>$A50*AK$4-Wing_Layout!$F$18</f>
        <v>19.395380000000003</v>
      </c>
      <c r="AK52">
        <f t="shared" si="19"/>
        <v>10.74278</v>
      </c>
    </row>
    <row r="53" spans="1:37" ht="12.75">
      <c r="A53">
        <v>0.0451</v>
      </c>
      <c r="B53">
        <v>-0.02007</v>
      </c>
      <c r="I53">
        <f>$A51*J$4-Wing_Layout!$F$9</f>
        <v>2.219575</v>
      </c>
      <c r="J53">
        <f t="shared" si="10"/>
        <v>-7.8313</v>
      </c>
      <c r="L53">
        <f>$A51*M$4-Wing_Layout!$F$10</f>
        <v>7.31566</v>
      </c>
      <c r="M53">
        <f t="shared" si="11"/>
        <v>-0.60962</v>
      </c>
      <c r="O53">
        <f>$A51*P$4-Wing_Layout!$F$11</f>
        <v>11.67172</v>
      </c>
      <c r="P53">
        <f t="shared" si="12"/>
        <v>4.52078</v>
      </c>
      <c r="R53">
        <f>$A51*S$4-Wing_Layout!$F$12</f>
        <v>13.42374</v>
      </c>
      <c r="S53">
        <f t="shared" si="13"/>
        <v>9.5762</v>
      </c>
      <c r="U53">
        <f>$A51*V$4-Wing_Layout!$F$13</f>
        <v>14.19975</v>
      </c>
      <c r="V53">
        <f t="shared" si="14"/>
        <v>-5.9075</v>
      </c>
      <c r="X53">
        <f>$A51*Y$4-Wing_Layout!$F$14</f>
        <v>14.975760000000001</v>
      </c>
      <c r="Y53">
        <f t="shared" si="15"/>
        <v>-2.3912</v>
      </c>
      <c r="AA53">
        <f>$A51*AB$4-Wing_Layout!$F$15</f>
        <v>15.751769999999999</v>
      </c>
      <c r="AB53">
        <f t="shared" si="16"/>
        <v>1.1251</v>
      </c>
      <c r="AD53">
        <f>$A51*AE$4-Wing_Layout!$F$16</f>
        <v>16.52778</v>
      </c>
      <c r="AE53">
        <f t="shared" si="17"/>
        <v>4.6414</v>
      </c>
      <c r="AG53">
        <f>$A51*AH$4-Wing_Layout!$F$17</f>
        <v>17.691795</v>
      </c>
      <c r="AH53">
        <f t="shared" si="18"/>
        <v>7.66585</v>
      </c>
      <c r="AJ53">
        <f>$A51*AK$4-Wing_Layout!$F$18</f>
        <v>19.53182</v>
      </c>
      <c r="AK53">
        <f t="shared" si="19"/>
        <v>10.7066</v>
      </c>
    </row>
    <row r="54" spans="1:37" ht="12.75">
      <c r="A54">
        <v>0.05905</v>
      </c>
      <c r="B54">
        <v>-0.02186</v>
      </c>
      <c r="I54">
        <f>$A52*J$4-Wing_Layout!$F$9</f>
        <v>2.6229</v>
      </c>
      <c r="J54">
        <f t="shared" si="10"/>
        <v>-7.92922</v>
      </c>
      <c r="L54">
        <f>$A52*M$4-Wing_Layout!$F$10</f>
        <v>7.63832</v>
      </c>
      <c r="M54">
        <f t="shared" si="11"/>
        <v>-0.681428</v>
      </c>
      <c r="O54">
        <f>$A52*P$4-Wing_Layout!$F$11</f>
        <v>11.93744</v>
      </c>
      <c r="P54">
        <f t="shared" si="12"/>
        <v>4.464332</v>
      </c>
      <c r="R54">
        <f>$A52*S$4-Wing_Layout!$F$12</f>
        <v>13.670480000000001</v>
      </c>
      <c r="S54">
        <f t="shared" si="13"/>
        <v>9.52628</v>
      </c>
      <c r="U54">
        <f>$A52*V$4-Wing_Layout!$F$13</f>
        <v>14.437</v>
      </c>
      <c r="V54">
        <f t="shared" si="14"/>
        <v>-5.9555</v>
      </c>
      <c r="X54">
        <f>$A52*Y$4-Wing_Layout!$F$14</f>
        <v>15.203520000000001</v>
      </c>
      <c r="Y54">
        <f t="shared" si="15"/>
        <v>-2.43728</v>
      </c>
      <c r="AA54">
        <f>$A52*AB$4-Wing_Layout!$F$15</f>
        <v>15.97004</v>
      </c>
      <c r="AB54">
        <f t="shared" si="16"/>
        <v>1.08094</v>
      </c>
      <c r="AD54">
        <f>$A52*AE$4-Wing_Layout!$F$16</f>
        <v>16.73656</v>
      </c>
      <c r="AE54">
        <f t="shared" si="17"/>
        <v>4.59916</v>
      </c>
      <c r="AG54">
        <f>$A52*AH$4-Wing_Layout!$F$17</f>
        <v>17.88634</v>
      </c>
      <c r="AH54">
        <f t="shared" si="18"/>
        <v>7.62649</v>
      </c>
      <c r="AJ54">
        <f>$A52*AK$4-Wing_Layout!$F$18</f>
        <v>19.702640000000002</v>
      </c>
      <c r="AK54">
        <f t="shared" si="19"/>
        <v>10.672039999999999</v>
      </c>
    </row>
    <row r="55" spans="1:37" ht="12.75">
      <c r="A55">
        <v>0.07539</v>
      </c>
      <c r="B55">
        <v>-0.02359</v>
      </c>
      <c r="I55">
        <f>$A53*J$4-Wing_Layout!$F$9</f>
        <v>3.1167499999999997</v>
      </c>
      <c r="J55">
        <f t="shared" si="10"/>
        <v>-8.02357</v>
      </c>
      <c r="L55">
        <f>$A53*M$4-Wing_Layout!$F$10</f>
        <v>8.0334</v>
      </c>
      <c r="M55">
        <f t="shared" si="11"/>
        <v>-0.7506180000000001</v>
      </c>
      <c r="O55">
        <f>$A53*P$4-Wing_Layout!$F$11</f>
        <v>12.2628</v>
      </c>
      <c r="P55">
        <f t="shared" si="12"/>
        <v>4.409942</v>
      </c>
      <c r="R55">
        <f>$A53*S$4-Wing_Layout!$F$12</f>
        <v>13.9726</v>
      </c>
      <c r="S55">
        <f t="shared" si="13"/>
        <v>9.47818</v>
      </c>
      <c r="U55">
        <f>$A53*V$4-Wing_Layout!$F$13</f>
        <v>14.7275</v>
      </c>
      <c r="V55">
        <f t="shared" si="14"/>
        <v>-6.00175</v>
      </c>
      <c r="X55">
        <f>$A53*Y$4-Wing_Layout!$F$14</f>
        <v>15.4824</v>
      </c>
      <c r="Y55">
        <f t="shared" si="15"/>
        <v>-2.48168</v>
      </c>
      <c r="AA55">
        <f>$A53*AB$4-Wing_Layout!$F$15</f>
        <v>16.237299999999998</v>
      </c>
      <c r="AB55">
        <f t="shared" si="16"/>
        <v>1.03839</v>
      </c>
      <c r="AD55">
        <f>$A53*AE$4-Wing_Layout!$F$16</f>
        <v>16.9922</v>
      </c>
      <c r="AE55">
        <f t="shared" si="17"/>
        <v>4.55846</v>
      </c>
      <c r="AG55">
        <f>$A53*AH$4-Wing_Layout!$F$17</f>
        <v>18.12455</v>
      </c>
      <c r="AH55">
        <f t="shared" si="18"/>
        <v>7.588565</v>
      </c>
      <c r="AJ55">
        <f>$A53*AK$4-Wing_Layout!$F$18</f>
        <v>19.911800000000003</v>
      </c>
      <c r="AK55">
        <f t="shared" si="19"/>
        <v>10.63874</v>
      </c>
    </row>
    <row r="56" spans="1:37" ht="12.75">
      <c r="A56">
        <v>0.09399</v>
      </c>
      <c r="B56">
        <v>-0.02525</v>
      </c>
      <c r="I56">
        <f>$A54*J$4-Wing_Layout!$F$9</f>
        <v>3.709625</v>
      </c>
      <c r="J56">
        <f t="shared" si="10"/>
        <v>-8.11486</v>
      </c>
      <c r="L56">
        <f>$A54*M$4-Wing_Layout!$F$10</f>
        <v>8.5077</v>
      </c>
      <c r="M56">
        <f t="shared" si="11"/>
        <v>-0.8175640000000001</v>
      </c>
      <c r="O56">
        <f>$A54*P$4-Wing_Layout!$F$11</f>
        <v>12.6534</v>
      </c>
      <c r="P56">
        <f t="shared" si="12"/>
        <v>4.357316</v>
      </c>
      <c r="R56">
        <f>$A54*S$4-Wing_Layout!$F$12</f>
        <v>14.3353</v>
      </c>
      <c r="S56">
        <f t="shared" si="13"/>
        <v>9.43164</v>
      </c>
      <c r="U56">
        <f>$A54*V$4-Wing_Layout!$F$13</f>
        <v>15.07625</v>
      </c>
      <c r="V56">
        <f t="shared" si="14"/>
        <v>-6.0465</v>
      </c>
      <c r="X56">
        <f>$A54*Y$4-Wing_Layout!$F$14</f>
        <v>15.8172</v>
      </c>
      <c r="Y56">
        <f t="shared" si="15"/>
        <v>-2.5246399999999998</v>
      </c>
      <c r="AA56">
        <f>$A54*AB$4-Wing_Layout!$F$15</f>
        <v>16.558149999999998</v>
      </c>
      <c r="AB56">
        <f t="shared" si="16"/>
        <v>0.99722</v>
      </c>
      <c r="AD56">
        <f>$A54*AE$4-Wing_Layout!$F$16</f>
        <v>17.2991</v>
      </c>
      <c r="AE56">
        <f t="shared" si="17"/>
        <v>4.51908</v>
      </c>
      <c r="AG56">
        <f>$A54*AH$4-Wing_Layout!$F$17</f>
        <v>18.410525</v>
      </c>
      <c r="AH56">
        <f t="shared" si="18"/>
        <v>7.55187</v>
      </c>
      <c r="AJ56">
        <f>$A54*AK$4-Wing_Layout!$F$18</f>
        <v>20.1629</v>
      </c>
      <c r="AK56">
        <f t="shared" si="19"/>
        <v>10.60652</v>
      </c>
    </row>
    <row r="57" spans="1:37" ht="12.75">
      <c r="A57">
        <v>0.11465</v>
      </c>
      <c r="B57">
        <v>-0.02684</v>
      </c>
      <c r="I57">
        <f>$A55*J$4-Wing_Layout!$F$9</f>
        <v>4.404075</v>
      </c>
      <c r="J57">
        <f t="shared" si="10"/>
        <v>-8.20309</v>
      </c>
      <c r="L57">
        <f>$A55*M$4-Wing_Layout!$F$10</f>
        <v>9.06326</v>
      </c>
      <c r="M57">
        <f t="shared" si="11"/>
        <v>-0.8822660000000001</v>
      </c>
      <c r="O57">
        <f>$A55*P$4-Wing_Layout!$F$11</f>
        <v>13.11092</v>
      </c>
      <c r="P57">
        <f t="shared" si="12"/>
        <v>4.3064540000000004</v>
      </c>
      <c r="R57">
        <f>$A55*S$4-Wing_Layout!$F$12</f>
        <v>14.76014</v>
      </c>
      <c r="S57">
        <f t="shared" si="13"/>
        <v>9.38666</v>
      </c>
      <c r="U57">
        <f>$A55*V$4-Wing_Layout!$F$13</f>
        <v>15.48475</v>
      </c>
      <c r="V57">
        <f t="shared" si="14"/>
        <v>-6.08975</v>
      </c>
      <c r="X57">
        <f>$A55*Y$4-Wing_Layout!$F$14</f>
        <v>16.20936</v>
      </c>
      <c r="Y57">
        <f t="shared" si="15"/>
        <v>-2.56616</v>
      </c>
      <c r="AA57">
        <f>$A55*AB$4-Wing_Layout!$F$15</f>
        <v>16.93397</v>
      </c>
      <c r="AB57">
        <f t="shared" si="16"/>
        <v>0.95743</v>
      </c>
      <c r="AD57">
        <f>$A55*AE$4-Wing_Layout!$F$16</f>
        <v>17.65858</v>
      </c>
      <c r="AE57">
        <f t="shared" si="17"/>
        <v>4.48102</v>
      </c>
      <c r="AG57">
        <f>$A55*AH$4-Wing_Layout!$F$17</f>
        <v>18.745495</v>
      </c>
      <c r="AH57">
        <f t="shared" si="18"/>
        <v>7.516405</v>
      </c>
      <c r="AJ57">
        <f>$A55*AK$4-Wing_Layout!$F$18</f>
        <v>20.45702</v>
      </c>
      <c r="AK57">
        <f t="shared" si="19"/>
        <v>10.57538</v>
      </c>
    </row>
    <row r="58" spans="1:37" ht="12.75">
      <c r="A58">
        <v>0.1372</v>
      </c>
      <c r="B58">
        <v>-0.02834</v>
      </c>
      <c r="I58">
        <f>$A56*J$4-Wing_Layout!$F$9</f>
        <v>5.194575</v>
      </c>
      <c r="J58">
        <f t="shared" si="10"/>
        <v>-8.287749999999999</v>
      </c>
      <c r="L58">
        <f>$A56*M$4-Wing_Layout!$F$10</f>
        <v>9.69566</v>
      </c>
      <c r="M58">
        <f t="shared" si="11"/>
        <v>-0.9443500000000001</v>
      </c>
      <c r="O58">
        <f>$A56*P$4-Wing_Layout!$F$11</f>
        <v>13.63172</v>
      </c>
      <c r="P58">
        <f t="shared" si="12"/>
        <v>4.25765</v>
      </c>
      <c r="R58">
        <f>$A56*S$4-Wing_Layout!$F$12</f>
        <v>15.24374</v>
      </c>
      <c r="S58">
        <f t="shared" si="13"/>
        <v>9.3435</v>
      </c>
      <c r="U58">
        <f>$A56*V$4-Wing_Layout!$F$13</f>
        <v>15.94975</v>
      </c>
      <c r="V58">
        <f t="shared" si="14"/>
        <v>-6.13125</v>
      </c>
      <c r="X58">
        <f>$A56*Y$4-Wing_Layout!$F$14</f>
        <v>16.65576</v>
      </c>
      <c r="Y58">
        <f t="shared" si="15"/>
        <v>-2.606</v>
      </c>
      <c r="AA58">
        <f>$A56*AB$4-Wing_Layout!$F$15</f>
        <v>17.36177</v>
      </c>
      <c r="AB58">
        <f t="shared" si="16"/>
        <v>0.91925</v>
      </c>
      <c r="AD58">
        <f>$A56*AE$4-Wing_Layout!$F$16</f>
        <v>18.06778</v>
      </c>
      <c r="AE58">
        <f t="shared" si="17"/>
        <v>4.4445</v>
      </c>
      <c r="AG58">
        <f>$A56*AH$4-Wing_Layout!$F$17</f>
        <v>19.126794999999998</v>
      </c>
      <c r="AH58">
        <f t="shared" si="18"/>
        <v>7.482375</v>
      </c>
      <c r="AJ58">
        <f>$A56*AK$4-Wing_Layout!$F$18</f>
        <v>20.79182</v>
      </c>
      <c r="AK58">
        <f t="shared" si="19"/>
        <v>10.5455</v>
      </c>
    </row>
    <row r="59" spans="1:37" ht="12.75">
      <c r="A59">
        <v>0.16144</v>
      </c>
      <c r="B59">
        <v>-0.02974</v>
      </c>
      <c r="I59">
        <f>$A57*J$4-Wing_Layout!$F$9</f>
        <v>6.072625</v>
      </c>
      <c r="J59">
        <f t="shared" si="10"/>
        <v>-8.36884</v>
      </c>
      <c r="L59">
        <f>$A57*M$4-Wing_Layout!$F$10</f>
        <v>10.3981</v>
      </c>
      <c r="M59">
        <f t="shared" si="11"/>
        <v>-1.003816</v>
      </c>
      <c r="O59">
        <f>$A57*P$4-Wing_Layout!$F$11</f>
        <v>14.2102</v>
      </c>
      <c r="P59">
        <f t="shared" si="12"/>
        <v>4.210904</v>
      </c>
      <c r="R59">
        <f>$A57*S$4-Wing_Layout!$F$12</f>
        <v>15.7809</v>
      </c>
      <c r="S59">
        <f t="shared" si="13"/>
        <v>9.30216</v>
      </c>
      <c r="U59">
        <f>$A57*V$4-Wing_Layout!$F$13</f>
        <v>16.46625</v>
      </c>
      <c r="V59">
        <f t="shared" si="14"/>
        <v>-6.171</v>
      </c>
      <c r="X59">
        <f>$A57*Y$4-Wing_Layout!$F$14</f>
        <v>17.151600000000002</v>
      </c>
      <c r="Y59">
        <f t="shared" si="15"/>
        <v>-2.64416</v>
      </c>
      <c r="AA59">
        <f>$A57*AB$4-Wing_Layout!$F$15</f>
        <v>17.836949999999998</v>
      </c>
      <c r="AB59">
        <f t="shared" si="16"/>
        <v>0.88268</v>
      </c>
      <c r="AD59">
        <f>$A57*AE$4-Wing_Layout!$F$16</f>
        <v>18.5223</v>
      </c>
      <c r="AE59">
        <f t="shared" si="17"/>
        <v>4.40952</v>
      </c>
      <c r="AG59">
        <f>$A57*AH$4-Wing_Layout!$F$17</f>
        <v>19.550325</v>
      </c>
      <c r="AH59">
        <f t="shared" si="18"/>
        <v>7.4497800000000005</v>
      </c>
      <c r="AJ59">
        <f>$A57*AK$4-Wing_Layout!$F$18</f>
        <v>21.163700000000002</v>
      </c>
      <c r="AK59">
        <f t="shared" si="19"/>
        <v>10.51688</v>
      </c>
    </row>
    <row r="60" spans="1:37" ht="12.75">
      <c r="A60">
        <v>0.18721</v>
      </c>
      <c r="B60">
        <v>-0.03104</v>
      </c>
      <c r="I60">
        <f>$A58*J$4-Wing_Layout!$F$9</f>
        <v>7.031</v>
      </c>
      <c r="J60">
        <f t="shared" si="10"/>
        <v>-8.44534</v>
      </c>
      <c r="L60">
        <f>$A58*M$4-Wing_Layout!$F$10</f>
        <v>11.1648</v>
      </c>
      <c r="M60">
        <f t="shared" si="11"/>
        <v>-1.059916</v>
      </c>
      <c r="O60">
        <f>$A58*P$4-Wing_Layout!$F$11</f>
        <v>14.8416</v>
      </c>
      <c r="P60">
        <f t="shared" si="12"/>
        <v>4.166804</v>
      </c>
      <c r="R60">
        <f>$A58*S$4-Wing_Layout!$F$12</f>
        <v>16.3672</v>
      </c>
      <c r="S60">
        <f t="shared" si="13"/>
        <v>9.26316</v>
      </c>
      <c r="U60">
        <f>$A58*V$4-Wing_Layout!$F$13</f>
        <v>17.03</v>
      </c>
      <c r="V60">
        <f t="shared" si="14"/>
        <v>-6.2085</v>
      </c>
      <c r="X60">
        <f>$A58*Y$4-Wing_Layout!$F$14</f>
        <v>17.6928</v>
      </c>
      <c r="Y60">
        <f t="shared" si="15"/>
        <v>-2.68016</v>
      </c>
      <c r="AA60">
        <f>$A58*AB$4-Wing_Layout!$F$15</f>
        <v>18.3556</v>
      </c>
      <c r="AB60">
        <f t="shared" si="16"/>
        <v>0.8481799999999999</v>
      </c>
      <c r="AD60">
        <f>$A58*AE$4-Wing_Layout!$F$16</f>
        <v>19.0184</v>
      </c>
      <c r="AE60">
        <f t="shared" si="17"/>
        <v>4.37652</v>
      </c>
      <c r="AG60">
        <f>$A58*AH$4-Wing_Layout!$F$17</f>
        <v>20.0126</v>
      </c>
      <c r="AH60">
        <f t="shared" si="18"/>
        <v>7.41903</v>
      </c>
      <c r="AJ60">
        <f>$A58*AK$4-Wing_Layout!$F$18</f>
        <v>21.5696</v>
      </c>
      <c r="AK60">
        <f t="shared" si="19"/>
        <v>10.48988</v>
      </c>
    </row>
    <row r="61" spans="1:37" ht="12.75">
      <c r="A61">
        <v>0.21431</v>
      </c>
      <c r="B61">
        <v>-0.03224</v>
      </c>
      <c r="I61">
        <f>$A59*J$4-Wing_Layout!$F$9</f>
        <v>8.0612</v>
      </c>
      <c r="J61">
        <f t="shared" si="10"/>
        <v>-8.51674</v>
      </c>
      <c r="L61">
        <f>$A59*M$4-Wing_Layout!$F$10</f>
        <v>11.988959999999999</v>
      </c>
      <c r="M61">
        <f t="shared" si="11"/>
        <v>-1.112276</v>
      </c>
      <c r="O61">
        <f>$A59*P$4-Wing_Layout!$F$11</f>
        <v>15.52032</v>
      </c>
      <c r="P61">
        <f t="shared" si="12"/>
        <v>4.125644</v>
      </c>
      <c r="R61">
        <f>$A59*S$4-Wing_Layout!$F$12</f>
        <v>16.99744</v>
      </c>
      <c r="S61">
        <f t="shared" si="13"/>
        <v>9.22676</v>
      </c>
      <c r="U61">
        <f>$A59*V$4-Wing_Layout!$F$13</f>
        <v>17.636</v>
      </c>
      <c r="V61">
        <f t="shared" si="14"/>
        <v>-6.2435</v>
      </c>
      <c r="X61">
        <f>$A59*Y$4-Wing_Layout!$F$14</f>
        <v>18.27456</v>
      </c>
      <c r="Y61">
        <f t="shared" si="15"/>
        <v>-2.7137599999999997</v>
      </c>
      <c r="AA61">
        <f>$A59*AB$4-Wing_Layout!$F$15</f>
        <v>18.91312</v>
      </c>
      <c r="AB61">
        <f t="shared" si="16"/>
        <v>0.81598</v>
      </c>
      <c r="AD61">
        <f>$A59*AE$4-Wing_Layout!$F$16</f>
        <v>19.55168</v>
      </c>
      <c r="AE61">
        <f t="shared" si="17"/>
        <v>4.34572</v>
      </c>
      <c r="AG61">
        <f>$A59*AH$4-Wing_Layout!$F$17</f>
        <v>20.50952</v>
      </c>
      <c r="AH61">
        <f t="shared" si="18"/>
        <v>7.3903300000000005</v>
      </c>
      <c r="AJ61">
        <f>$A59*AK$4-Wing_Layout!$F$18</f>
        <v>22.005920000000003</v>
      </c>
      <c r="AK61">
        <f t="shared" si="19"/>
        <v>10.46468</v>
      </c>
    </row>
    <row r="62" spans="1:37" ht="12.75">
      <c r="A62">
        <v>0.24257</v>
      </c>
      <c r="B62">
        <v>-0.0333</v>
      </c>
      <c r="I62">
        <f>$A60*J$4-Wing_Layout!$F$9</f>
        <v>9.156424999999999</v>
      </c>
      <c r="J62">
        <f t="shared" si="10"/>
        <v>-8.58304</v>
      </c>
      <c r="L62">
        <f>$A60*M$4-Wing_Layout!$F$10</f>
        <v>12.86514</v>
      </c>
      <c r="M62">
        <f t="shared" si="11"/>
        <v>-1.1608960000000002</v>
      </c>
      <c r="O62">
        <f>$A60*P$4-Wing_Layout!$F$11</f>
        <v>16.241880000000002</v>
      </c>
      <c r="P62">
        <f t="shared" si="12"/>
        <v>4.087424</v>
      </c>
      <c r="R62">
        <f>$A60*S$4-Wing_Layout!$F$12</f>
        <v>17.66746</v>
      </c>
      <c r="S62">
        <f t="shared" si="13"/>
        <v>9.19296</v>
      </c>
      <c r="U62">
        <f>$A60*V$4-Wing_Layout!$F$13</f>
        <v>18.28025</v>
      </c>
      <c r="V62">
        <f t="shared" si="14"/>
        <v>-6.276</v>
      </c>
      <c r="X62">
        <f>$A60*Y$4-Wing_Layout!$F$14</f>
        <v>18.89304</v>
      </c>
      <c r="Y62">
        <f t="shared" si="15"/>
        <v>-2.74496</v>
      </c>
      <c r="AA62">
        <f>$A60*AB$4-Wing_Layout!$F$15</f>
        <v>19.50583</v>
      </c>
      <c r="AB62">
        <f t="shared" si="16"/>
        <v>0.78608</v>
      </c>
      <c r="AD62">
        <f>$A60*AE$4-Wing_Layout!$F$16</f>
        <v>20.11862</v>
      </c>
      <c r="AE62">
        <f t="shared" si="17"/>
        <v>4.31712</v>
      </c>
      <c r="AG62">
        <f>$A60*AH$4-Wing_Layout!$F$17</f>
        <v>21.037805</v>
      </c>
      <c r="AH62">
        <f t="shared" si="18"/>
        <v>7.3636800000000004</v>
      </c>
      <c r="AJ62">
        <f>$A60*AK$4-Wing_Layout!$F$18</f>
        <v>22.46978</v>
      </c>
      <c r="AK62">
        <f t="shared" si="19"/>
        <v>10.44128</v>
      </c>
    </row>
    <row r="63" spans="1:37" ht="12.75">
      <c r="A63">
        <v>0.2718</v>
      </c>
      <c r="B63">
        <v>-0.03424</v>
      </c>
      <c r="I63">
        <f>$A61*J$4-Wing_Layout!$F$9</f>
        <v>10.308174999999999</v>
      </c>
      <c r="J63">
        <f t="shared" si="10"/>
        <v>-8.64424</v>
      </c>
      <c r="L63">
        <f>$A61*M$4-Wing_Layout!$F$10</f>
        <v>13.78654</v>
      </c>
      <c r="M63">
        <f t="shared" si="11"/>
        <v>-1.2057760000000002</v>
      </c>
      <c r="O63">
        <f>$A61*P$4-Wing_Layout!$F$11</f>
        <v>17.00068</v>
      </c>
      <c r="P63">
        <f t="shared" si="12"/>
        <v>4.052144</v>
      </c>
      <c r="R63">
        <f>$A61*S$4-Wing_Layout!$F$12</f>
        <v>18.37206</v>
      </c>
      <c r="S63">
        <f t="shared" si="13"/>
        <v>9.16176</v>
      </c>
      <c r="U63">
        <f>$A61*V$4-Wing_Layout!$F$13</f>
        <v>18.95775</v>
      </c>
      <c r="V63">
        <f t="shared" si="14"/>
        <v>-6.306</v>
      </c>
      <c r="X63">
        <f>$A61*Y$4-Wing_Layout!$F$14</f>
        <v>19.54344</v>
      </c>
      <c r="Y63">
        <f t="shared" si="15"/>
        <v>-2.7737600000000002</v>
      </c>
      <c r="AA63">
        <f>$A61*AB$4-Wing_Layout!$F$15</f>
        <v>20.12913</v>
      </c>
      <c r="AB63">
        <f t="shared" si="16"/>
        <v>0.75848</v>
      </c>
      <c r="AD63">
        <f>$A61*AE$4-Wing_Layout!$F$16</f>
        <v>20.71482</v>
      </c>
      <c r="AE63">
        <f t="shared" si="17"/>
        <v>4.29072</v>
      </c>
      <c r="AG63">
        <f>$A61*AH$4-Wing_Layout!$F$17</f>
        <v>21.593355</v>
      </c>
      <c r="AH63">
        <f t="shared" si="18"/>
        <v>7.33908</v>
      </c>
      <c r="AJ63">
        <f>$A61*AK$4-Wing_Layout!$F$18</f>
        <v>22.95758</v>
      </c>
      <c r="AK63">
        <f t="shared" si="19"/>
        <v>10.41968</v>
      </c>
    </row>
    <row r="64" spans="1:37" ht="12.75">
      <c r="A64">
        <v>0.30182</v>
      </c>
      <c r="B64">
        <v>-0.03504</v>
      </c>
      <c r="I64">
        <f>$A62*J$4-Wing_Layout!$F$9</f>
        <v>11.509224999999999</v>
      </c>
      <c r="J64">
        <f t="shared" si="10"/>
        <v>-8.6983</v>
      </c>
      <c r="L64">
        <f>$A62*M$4-Wing_Layout!$F$10</f>
        <v>14.74738</v>
      </c>
      <c r="M64">
        <f t="shared" si="11"/>
        <v>-1.2454200000000004</v>
      </c>
      <c r="O64">
        <f>$A62*P$4-Wing_Layout!$F$11</f>
        <v>17.79196</v>
      </c>
      <c r="P64">
        <f t="shared" si="12"/>
        <v>4.02098</v>
      </c>
      <c r="R64">
        <f>$A62*S$4-Wing_Layout!$F$12</f>
        <v>19.10682</v>
      </c>
      <c r="S64">
        <f t="shared" si="13"/>
        <v>9.1342</v>
      </c>
      <c r="U64">
        <f>$A62*V$4-Wing_Layout!$F$13</f>
        <v>19.66425</v>
      </c>
      <c r="V64">
        <f t="shared" si="14"/>
        <v>-6.3325000000000005</v>
      </c>
      <c r="X64">
        <f>$A62*Y$4-Wing_Layout!$F$14</f>
        <v>20.22168</v>
      </c>
      <c r="Y64">
        <f t="shared" si="15"/>
        <v>-2.7992</v>
      </c>
      <c r="AA64">
        <f>$A62*AB$4-Wing_Layout!$F$15</f>
        <v>20.77911</v>
      </c>
      <c r="AB64">
        <f t="shared" si="16"/>
        <v>0.7341</v>
      </c>
      <c r="AD64">
        <f>$A62*AE$4-Wing_Layout!$F$16</f>
        <v>21.33654</v>
      </c>
      <c r="AE64">
        <f t="shared" si="17"/>
        <v>4.2674</v>
      </c>
      <c r="AG64">
        <f>$A62*AH$4-Wing_Layout!$F$17</f>
        <v>22.172685</v>
      </c>
      <c r="AH64">
        <f t="shared" si="18"/>
        <v>7.31735</v>
      </c>
      <c r="AJ64">
        <f>$A62*AK$4-Wing_Layout!$F$18</f>
        <v>23.466260000000002</v>
      </c>
      <c r="AK64">
        <f t="shared" si="19"/>
        <v>10.4006</v>
      </c>
    </row>
    <row r="65" spans="1:37" ht="12.75">
      <c r="A65">
        <v>0.33252</v>
      </c>
      <c r="B65">
        <v>-0.03571</v>
      </c>
      <c r="I65">
        <f>$A63*J$4-Wing_Layout!$F$9</f>
        <v>12.751499999999998</v>
      </c>
      <c r="J65">
        <f t="shared" si="10"/>
        <v>-8.74624</v>
      </c>
      <c r="L65">
        <f>$A63*M$4-Wing_Layout!$F$10</f>
        <v>15.7412</v>
      </c>
      <c r="M65">
        <f t="shared" si="11"/>
        <v>-1.2805760000000002</v>
      </c>
      <c r="O65">
        <f>$A63*P$4-Wing_Layout!$F$11</f>
        <v>18.6104</v>
      </c>
      <c r="P65">
        <f t="shared" si="12"/>
        <v>3.993344</v>
      </c>
      <c r="R65">
        <f>$A63*S$4-Wing_Layout!$F$12</f>
        <v>19.8668</v>
      </c>
      <c r="S65">
        <f t="shared" si="13"/>
        <v>9.10976</v>
      </c>
      <c r="U65">
        <f>$A63*V$4-Wing_Layout!$F$13</f>
        <v>20.395</v>
      </c>
      <c r="V65">
        <f t="shared" si="14"/>
        <v>-6.356</v>
      </c>
      <c r="X65">
        <f>$A63*Y$4-Wing_Layout!$F$14</f>
        <v>20.9232</v>
      </c>
      <c r="Y65">
        <f t="shared" si="15"/>
        <v>-2.8217600000000003</v>
      </c>
      <c r="AA65">
        <f>$A63*AB$4-Wing_Layout!$F$15</f>
        <v>21.4514</v>
      </c>
      <c r="AB65">
        <f t="shared" si="16"/>
        <v>0.71248</v>
      </c>
      <c r="AD65">
        <f>$A63*AE$4-Wing_Layout!$F$16</f>
        <v>21.979599999999998</v>
      </c>
      <c r="AE65">
        <f t="shared" si="17"/>
        <v>4.24672</v>
      </c>
      <c r="AG65">
        <f>$A63*AH$4-Wing_Layout!$F$17</f>
        <v>22.7719</v>
      </c>
      <c r="AH65">
        <f t="shared" si="18"/>
        <v>7.29808</v>
      </c>
      <c r="AJ65">
        <f>$A63*AK$4-Wing_Layout!$F$18</f>
        <v>23.9924</v>
      </c>
      <c r="AK65">
        <f t="shared" si="19"/>
        <v>10.38368</v>
      </c>
    </row>
    <row r="66" spans="1:37" ht="12.75">
      <c r="A66">
        <v>0.36383</v>
      </c>
      <c r="B66">
        <v>-0.03623</v>
      </c>
      <c r="I66">
        <f>$A64*J$4-Wing_Layout!$F$9</f>
        <v>14.027349999999998</v>
      </c>
      <c r="J66">
        <f t="shared" si="10"/>
        <v>-8.787040000000001</v>
      </c>
      <c r="L66">
        <f>$A64*M$4-Wing_Layout!$F$10</f>
        <v>16.761879999999998</v>
      </c>
      <c r="M66">
        <f t="shared" si="11"/>
        <v>-1.310496</v>
      </c>
      <c r="O66">
        <f>$A64*P$4-Wing_Layout!$F$11</f>
        <v>19.45096</v>
      </c>
      <c r="P66">
        <f t="shared" si="12"/>
        <v>3.969824</v>
      </c>
      <c r="R66">
        <f>$A64*S$4-Wing_Layout!$F$12</f>
        <v>20.64732</v>
      </c>
      <c r="S66">
        <f t="shared" si="13"/>
        <v>9.08896</v>
      </c>
      <c r="U66">
        <f>$A64*V$4-Wing_Layout!$F$13</f>
        <v>21.1455</v>
      </c>
      <c r="V66">
        <f t="shared" si="14"/>
        <v>-6.376</v>
      </c>
      <c r="X66">
        <f>$A64*Y$4-Wing_Layout!$F$14</f>
        <v>21.64368</v>
      </c>
      <c r="Y66">
        <f t="shared" si="15"/>
        <v>-2.84096</v>
      </c>
      <c r="AA66">
        <f>$A64*AB$4-Wing_Layout!$F$15</f>
        <v>22.141859999999998</v>
      </c>
      <c r="AB66">
        <f t="shared" si="16"/>
        <v>0.6940799999999999</v>
      </c>
      <c r="AD66">
        <f>$A64*AE$4-Wing_Layout!$F$16</f>
        <v>22.64004</v>
      </c>
      <c r="AE66">
        <f t="shared" si="17"/>
        <v>4.22912</v>
      </c>
      <c r="AG66">
        <f>$A64*AH$4-Wing_Layout!$F$17</f>
        <v>23.38731</v>
      </c>
      <c r="AH66">
        <f t="shared" si="18"/>
        <v>7.28168</v>
      </c>
      <c r="AJ66">
        <f>$A64*AK$4-Wing_Layout!$F$18</f>
        <v>24.532760000000003</v>
      </c>
      <c r="AK66">
        <f t="shared" si="19"/>
        <v>10.36928</v>
      </c>
    </row>
    <row r="67" spans="1:37" ht="12.75">
      <c r="A67">
        <v>0.39572</v>
      </c>
      <c r="B67">
        <v>-0.0366</v>
      </c>
      <c r="I67">
        <f>$A65*J$4-Wing_Layout!$F$9</f>
        <v>15.332099999999999</v>
      </c>
      <c r="J67">
        <f t="shared" si="10"/>
        <v>-8.82121</v>
      </c>
      <c r="L67">
        <f>$A65*M$4-Wing_Layout!$F$10</f>
        <v>17.80568</v>
      </c>
      <c r="M67">
        <f t="shared" si="11"/>
        <v>-1.3355540000000001</v>
      </c>
      <c r="O67">
        <f>$A65*P$4-Wing_Layout!$F$11</f>
        <v>20.31056</v>
      </c>
      <c r="P67">
        <f t="shared" si="12"/>
        <v>3.950126</v>
      </c>
      <c r="R67">
        <f>$A65*S$4-Wing_Layout!$F$12</f>
        <v>21.445520000000002</v>
      </c>
      <c r="S67">
        <f t="shared" si="13"/>
        <v>9.07154</v>
      </c>
      <c r="U67">
        <f>$A65*V$4-Wing_Layout!$F$13</f>
        <v>21.912999999999997</v>
      </c>
      <c r="V67">
        <f t="shared" si="14"/>
        <v>-6.3927499999999995</v>
      </c>
      <c r="X67">
        <f>$A65*Y$4-Wing_Layout!$F$14</f>
        <v>22.38048</v>
      </c>
      <c r="Y67">
        <f t="shared" si="15"/>
        <v>-2.85704</v>
      </c>
      <c r="AA67">
        <f>$A65*AB$4-Wing_Layout!$F$15</f>
        <v>22.84796</v>
      </c>
      <c r="AB67">
        <f t="shared" si="16"/>
        <v>0.67867</v>
      </c>
      <c r="AD67">
        <f>$A65*AE$4-Wing_Layout!$F$16</f>
        <v>23.31544</v>
      </c>
      <c r="AE67">
        <f t="shared" si="17"/>
        <v>4.21438</v>
      </c>
      <c r="AG67">
        <f>$A65*AH$4-Wing_Layout!$F$17</f>
        <v>24.016659999999998</v>
      </c>
      <c r="AH67">
        <f t="shared" si="18"/>
        <v>7.267945</v>
      </c>
      <c r="AJ67">
        <f>$A65*AK$4-Wing_Layout!$F$18</f>
        <v>25.08536</v>
      </c>
      <c r="AK67">
        <f t="shared" si="19"/>
        <v>10.35722</v>
      </c>
    </row>
    <row r="68" spans="1:37" ht="12.75">
      <c r="A68">
        <v>0.42812</v>
      </c>
      <c r="B68">
        <v>-0.03682</v>
      </c>
      <c r="I68">
        <f>$A66*J$4-Wing_Layout!$F$9</f>
        <v>16.662775</v>
      </c>
      <c r="J68">
        <f t="shared" si="10"/>
        <v>-8.84773</v>
      </c>
      <c r="L68">
        <f>$A66*M$4-Wing_Layout!$F$10</f>
        <v>18.87022</v>
      </c>
      <c r="M68">
        <f t="shared" si="11"/>
        <v>-1.355002</v>
      </c>
      <c r="O68">
        <f>$A66*P$4-Wing_Layout!$F$11</f>
        <v>21.18724</v>
      </c>
      <c r="P68">
        <f t="shared" si="12"/>
        <v>3.934838</v>
      </c>
      <c r="R68">
        <f>$A66*S$4-Wing_Layout!$F$12</f>
        <v>22.25958</v>
      </c>
      <c r="S68">
        <f t="shared" si="13"/>
        <v>9.05802</v>
      </c>
      <c r="U68">
        <f>$A66*V$4-Wing_Layout!$F$13</f>
        <v>22.695749999999997</v>
      </c>
      <c r="V68">
        <f t="shared" si="14"/>
        <v>-6.40575</v>
      </c>
      <c r="X68">
        <f>$A66*Y$4-Wing_Layout!$F$14</f>
        <v>23.13192</v>
      </c>
      <c r="Y68">
        <f t="shared" si="15"/>
        <v>-2.86952</v>
      </c>
      <c r="AA68">
        <f>$A66*AB$4-Wing_Layout!$F$15</f>
        <v>23.568089999999998</v>
      </c>
      <c r="AB68">
        <f t="shared" si="16"/>
        <v>0.66671</v>
      </c>
      <c r="AD68">
        <f>$A66*AE$4-Wing_Layout!$F$16</f>
        <v>24.004260000000002</v>
      </c>
      <c r="AE68">
        <f t="shared" si="17"/>
        <v>4.20294</v>
      </c>
      <c r="AG68">
        <f>$A66*AH$4-Wing_Layout!$F$17</f>
        <v>24.658514999999998</v>
      </c>
      <c r="AH68">
        <f t="shared" si="18"/>
        <v>7.2572849999999995</v>
      </c>
      <c r="AJ68">
        <f>$A66*AK$4-Wing_Layout!$F$18</f>
        <v>25.648940000000003</v>
      </c>
      <c r="AK68">
        <f t="shared" si="19"/>
        <v>10.34786</v>
      </c>
    </row>
    <row r="69" spans="1:37" ht="12.75">
      <c r="A69">
        <v>0.46098</v>
      </c>
      <c r="B69">
        <v>-0.03689</v>
      </c>
      <c r="I69">
        <f>$A67*J$4-Wing_Layout!$F$9</f>
        <v>18.0181</v>
      </c>
      <c r="J69">
        <f t="shared" si="10"/>
        <v>-8.8666</v>
      </c>
      <c r="L69">
        <f>$A67*M$4-Wing_Layout!$F$10</f>
        <v>19.95448</v>
      </c>
      <c r="M69">
        <f t="shared" si="11"/>
        <v>-1.36884</v>
      </c>
      <c r="O69">
        <f>$A67*P$4-Wing_Layout!$F$11</f>
        <v>22.08016</v>
      </c>
      <c r="P69">
        <f t="shared" si="12"/>
        <v>3.92396</v>
      </c>
      <c r="R69">
        <f>$A67*S$4-Wing_Layout!$F$12</f>
        <v>23.088720000000002</v>
      </c>
      <c r="S69">
        <f t="shared" si="13"/>
        <v>9.0484</v>
      </c>
      <c r="U69">
        <f>$A67*V$4-Wing_Layout!$F$13</f>
        <v>23.493000000000002</v>
      </c>
      <c r="V69">
        <f t="shared" si="14"/>
        <v>-6.415</v>
      </c>
      <c r="X69">
        <f>$A67*Y$4-Wing_Layout!$F$14</f>
        <v>23.897280000000002</v>
      </c>
      <c r="Y69">
        <f t="shared" si="15"/>
        <v>-2.8784</v>
      </c>
      <c r="AA69">
        <f>$A67*AB$4-Wing_Layout!$F$15</f>
        <v>24.301560000000002</v>
      </c>
      <c r="AB69">
        <f t="shared" si="16"/>
        <v>0.6582</v>
      </c>
      <c r="AD69">
        <f>$A67*AE$4-Wing_Layout!$F$16</f>
        <v>24.705840000000002</v>
      </c>
      <c r="AE69">
        <f t="shared" si="17"/>
        <v>4.1948</v>
      </c>
      <c r="AG69">
        <f>$A67*AH$4-Wing_Layout!$F$17</f>
        <v>25.312260000000002</v>
      </c>
      <c r="AH69">
        <f t="shared" si="18"/>
        <v>7.2497</v>
      </c>
      <c r="AJ69">
        <f>$A67*AK$4-Wing_Layout!$F$18</f>
        <v>26.22296</v>
      </c>
      <c r="AK69">
        <f t="shared" si="19"/>
        <v>10.3412</v>
      </c>
    </row>
    <row r="70" spans="1:37" ht="12.75">
      <c r="A70">
        <v>0.49426</v>
      </c>
      <c r="B70">
        <v>-0.0368</v>
      </c>
      <c r="I70">
        <f>$A68*J$4-Wing_Layout!$F$9</f>
        <v>19.3951</v>
      </c>
      <c r="J70">
        <f t="shared" si="10"/>
        <v>-8.87782</v>
      </c>
      <c r="L70">
        <f>$A68*M$4-Wing_Layout!$F$10</f>
        <v>21.05608</v>
      </c>
      <c r="M70">
        <f t="shared" si="11"/>
        <v>-1.3770680000000002</v>
      </c>
      <c r="O70">
        <f>$A68*P$4-Wing_Layout!$F$11</f>
        <v>22.987360000000002</v>
      </c>
      <c r="P70">
        <f t="shared" si="12"/>
        <v>3.917492</v>
      </c>
      <c r="R70">
        <f>$A68*S$4-Wing_Layout!$F$12</f>
        <v>23.93112</v>
      </c>
      <c r="S70">
        <f t="shared" si="13"/>
        <v>9.04268</v>
      </c>
      <c r="U70">
        <f>$A68*V$4-Wing_Layout!$F$13</f>
        <v>24.302999999999997</v>
      </c>
      <c r="V70">
        <f t="shared" si="14"/>
        <v>-6.4205</v>
      </c>
      <c r="X70">
        <f>$A68*Y$4-Wing_Layout!$F$14</f>
        <v>24.67488</v>
      </c>
      <c r="Y70">
        <f t="shared" si="15"/>
        <v>-2.88368</v>
      </c>
      <c r="AA70">
        <f>$A68*AB$4-Wing_Layout!$F$15</f>
        <v>25.04676</v>
      </c>
      <c r="AB70">
        <f t="shared" si="16"/>
        <v>0.65314</v>
      </c>
      <c r="AD70">
        <f>$A68*AE$4-Wing_Layout!$F$16</f>
        <v>25.41864</v>
      </c>
      <c r="AE70">
        <f t="shared" si="17"/>
        <v>4.18996</v>
      </c>
      <c r="AG70">
        <f>$A68*AH$4-Wing_Layout!$F$17</f>
        <v>25.97646</v>
      </c>
      <c r="AH70">
        <f t="shared" si="18"/>
        <v>7.24519</v>
      </c>
      <c r="AJ70">
        <f>$A68*AK$4-Wing_Layout!$F$18</f>
        <v>26.806160000000002</v>
      </c>
      <c r="AK70">
        <f t="shared" si="19"/>
        <v>10.33724</v>
      </c>
    </row>
    <row r="71" spans="1:37" ht="12.75">
      <c r="A71">
        <v>0.5279</v>
      </c>
      <c r="B71">
        <v>-0.03655</v>
      </c>
      <c r="I71">
        <f>$A69*J$4-Wing_Layout!$F$9</f>
        <v>20.79165</v>
      </c>
      <c r="J71">
        <f aca="true" t="shared" si="20" ref="J71:J85">$B69*J$5*J$4+J$6</f>
        <v>-8.88139</v>
      </c>
      <c r="L71">
        <f>$A69*M$4-Wing_Layout!$F$10</f>
        <v>22.17332</v>
      </c>
      <c r="M71">
        <f aca="true" t="shared" si="21" ref="M71:M85">$B69*M$5*M$4+M$6</f>
        <v>-1.3796860000000002</v>
      </c>
      <c r="O71">
        <f>$A69*P$4-Wing_Layout!$F$11</f>
        <v>23.90744</v>
      </c>
      <c r="P71">
        <f aca="true" t="shared" si="22" ref="P71:P85">$B69*P$5*P$4+P$6</f>
        <v>3.9154340000000003</v>
      </c>
      <c r="R71">
        <f>$A69*S$4-Wing_Layout!$F$12</f>
        <v>24.78548</v>
      </c>
      <c r="S71">
        <f aca="true" t="shared" si="23" ref="S71:S85">$B69*S$5*S$4+S$6</f>
        <v>9.04086</v>
      </c>
      <c r="U71">
        <f>$A69*V$4-Wing_Layout!$F$13</f>
        <v>25.124499999999998</v>
      </c>
      <c r="V71">
        <f aca="true" t="shared" si="24" ref="V71:V85">$B69*V$5*V$4+V$6</f>
        <v>-6.42225</v>
      </c>
      <c r="X71">
        <f>$A69*Y$4-Wing_Layout!$F$14</f>
        <v>25.463520000000003</v>
      </c>
      <c r="Y71">
        <f aca="true" t="shared" si="25" ref="Y71:Y85">$B69*Y$5*Y$4+Y$6</f>
        <v>-2.88536</v>
      </c>
      <c r="AA71">
        <f>$A69*AB$4-Wing_Layout!$F$15</f>
        <v>25.80254</v>
      </c>
      <c r="AB71">
        <f aca="true" t="shared" si="26" ref="AB71:AB85">$B69*AB$5*AB$4+AB$6</f>
        <v>0.65153</v>
      </c>
      <c r="AD71">
        <f>$A69*AE$4-Wing_Layout!$F$16</f>
        <v>26.14156</v>
      </c>
      <c r="AE71">
        <f aca="true" t="shared" si="27" ref="AE71:AE85">$B69*AE$5*AE$4+AE$6</f>
        <v>4.18842</v>
      </c>
      <c r="AG71">
        <f>$A69*AH$4-Wing_Layout!$F$17</f>
        <v>26.65009</v>
      </c>
      <c r="AH71">
        <f aca="true" t="shared" si="28" ref="AH71:AH85">$B69*AH$5*AH$4+AH$6</f>
        <v>7.243755</v>
      </c>
      <c r="AJ71">
        <f>$A69*AK$4-Wing_Layout!$F$18</f>
        <v>27.397640000000003</v>
      </c>
      <c r="AK71">
        <f aca="true" t="shared" si="29" ref="AK71:AK85">$B69*AK$5*AK$4+AK$6</f>
        <v>10.33598</v>
      </c>
    </row>
    <row r="72" spans="1:37" ht="12.75">
      <c r="A72">
        <v>0.56184</v>
      </c>
      <c r="B72">
        <v>-0.03614</v>
      </c>
      <c r="I72">
        <f>$A70*J$4-Wing_Layout!$F$9</f>
        <v>22.206049999999998</v>
      </c>
      <c r="J72">
        <f t="shared" si="20"/>
        <v>-8.8768</v>
      </c>
      <c r="L72">
        <f>$A70*M$4-Wing_Layout!$F$10</f>
        <v>23.30484</v>
      </c>
      <c r="M72">
        <f t="shared" si="21"/>
        <v>-1.37632</v>
      </c>
      <c r="O72">
        <f>$A70*P$4-Wing_Layout!$F$11</f>
        <v>24.83928</v>
      </c>
      <c r="P72">
        <f t="shared" si="22"/>
        <v>3.91808</v>
      </c>
      <c r="R72">
        <f>$A70*S$4-Wing_Layout!$F$12</f>
        <v>25.65076</v>
      </c>
      <c r="S72">
        <f t="shared" si="23"/>
        <v>9.0432</v>
      </c>
      <c r="U72">
        <f>$A70*V$4-Wing_Layout!$F$13</f>
        <v>25.9565</v>
      </c>
      <c r="V72">
        <f t="shared" si="24"/>
        <v>-6.42</v>
      </c>
      <c r="X72">
        <f>$A70*Y$4-Wing_Layout!$F$14</f>
        <v>26.26224</v>
      </c>
      <c r="Y72">
        <f t="shared" si="25"/>
        <v>-2.8832</v>
      </c>
      <c r="AA72">
        <f>$A70*AB$4-Wing_Layout!$F$15</f>
        <v>26.56798</v>
      </c>
      <c r="AB72">
        <f t="shared" si="26"/>
        <v>0.6536</v>
      </c>
      <c r="AD72">
        <f>$A70*AE$4-Wing_Layout!$F$16</f>
        <v>26.87372</v>
      </c>
      <c r="AE72">
        <f t="shared" si="27"/>
        <v>4.1904</v>
      </c>
      <c r="AG72">
        <f>$A70*AH$4-Wing_Layout!$F$17</f>
        <v>27.33233</v>
      </c>
      <c r="AH72">
        <f t="shared" si="28"/>
        <v>7.2456</v>
      </c>
      <c r="AJ72">
        <f>$A70*AK$4-Wing_Layout!$F$18</f>
        <v>27.99668</v>
      </c>
      <c r="AK72">
        <f t="shared" si="29"/>
        <v>10.3376</v>
      </c>
    </row>
    <row r="73" spans="1:37" ht="12.75">
      <c r="A73">
        <v>0.59604</v>
      </c>
      <c r="B73">
        <v>-0.03556</v>
      </c>
      <c r="I73">
        <f>$A71*J$4-Wing_Layout!$F$9</f>
        <v>23.63575</v>
      </c>
      <c r="J73">
        <f t="shared" si="20"/>
        <v>-8.864049999999999</v>
      </c>
      <c r="L73">
        <f>$A71*M$4-Wing_Layout!$F$10</f>
        <v>24.448600000000003</v>
      </c>
      <c r="M73">
        <f t="shared" si="21"/>
        <v>-1.3669700000000002</v>
      </c>
      <c r="O73">
        <f>$A71*P$4-Wing_Layout!$F$11</f>
        <v>25.781200000000002</v>
      </c>
      <c r="P73">
        <f t="shared" si="22"/>
        <v>3.92543</v>
      </c>
      <c r="R73">
        <f>$A71*S$4-Wing_Layout!$F$12</f>
        <v>26.5254</v>
      </c>
      <c r="S73">
        <f t="shared" si="23"/>
        <v>9.0497</v>
      </c>
      <c r="U73">
        <f>$A71*V$4-Wing_Layout!$F$13</f>
        <v>26.7975</v>
      </c>
      <c r="V73">
        <f t="shared" si="24"/>
        <v>-6.41375</v>
      </c>
      <c r="X73">
        <f>$A71*Y$4-Wing_Layout!$F$14</f>
        <v>27.0696</v>
      </c>
      <c r="Y73">
        <f t="shared" si="25"/>
        <v>-2.8772</v>
      </c>
      <c r="AA73">
        <f>$A71*AB$4-Wing_Layout!$F$15</f>
        <v>27.3417</v>
      </c>
      <c r="AB73">
        <f t="shared" si="26"/>
        <v>0.65935</v>
      </c>
      <c r="AD73">
        <f>$A71*AE$4-Wing_Layout!$F$16</f>
        <v>27.6138</v>
      </c>
      <c r="AE73">
        <f t="shared" si="27"/>
        <v>4.1959</v>
      </c>
      <c r="AG73">
        <f>$A71*AH$4-Wing_Layout!$F$17</f>
        <v>28.02195</v>
      </c>
      <c r="AH73">
        <f t="shared" si="28"/>
        <v>7.250725</v>
      </c>
      <c r="AJ73">
        <f>$A71*AK$4-Wing_Layout!$F$18</f>
        <v>28.602200000000003</v>
      </c>
      <c r="AK73">
        <f t="shared" si="29"/>
        <v>10.3421</v>
      </c>
    </row>
    <row r="74" spans="1:37" ht="12.75">
      <c r="A74">
        <v>0.63047</v>
      </c>
      <c r="B74">
        <v>-0.03481</v>
      </c>
      <c r="I74">
        <f>$A72*J$4-Wing_Layout!$F$9</f>
        <v>25.0782</v>
      </c>
      <c r="J74">
        <f t="shared" si="20"/>
        <v>-8.84314</v>
      </c>
      <c r="L74">
        <f>$A72*M$4-Wing_Layout!$F$10</f>
        <v>25.60256</v>
      </c>
      <c r="M74">
        <f t="shared" si="21"/>
        <v>-1.351636</v>
      </c>
      <c r="O74">
        <f>$A72*P$4-Wing_Layout!$F$11</f>
        <v>26.73152</v>
      </c>
      <c r="P74">
        <f t="shared" si="22"/>
        <v>3.937484</v>
      </c>
      <c r="R74">
        <f>$A72*S$4-Wing_Layout!$F$12</f>
        <v>27.40784</v>
      </c>
      <c r="S74">
        <f t="shared" si="23"/>
        <v>9.06036</v>
      </c>
      <c r="U74">
        <f>$A72*V$4-Wing_Layout!$F$13</f>
        <v>27.646</v>
      </c>
      <c r="V74">
        <f t="shared" si="24"/>
        <v>-6.4035</v>
      </c>
      <c r="X74">
        <f>$A72*Y$4-Wing_Layout!$F$14</f>
        <v>27.88416</v>
      </c>
      <c r="Y74">
        <f t="shared" si="25"/>
        <v>-2.8673599999999997</v>
      </c>
      <c r="AA74">
        <f>$A72*AB$4-Wing_Layout!$F$15</f>
        <v>28.122320000000002</v>
      </c>
      <c r="AB74">
        <f t="shared" si="26"/>
        <v>0.66878</v>
      </c>
      <c r="AD74">
        <f>$A72*AE$4-Wing_Layout!$F$16</f>
        <v>28.360480000000003</v>
      </c>
      <c r="AE74">
        <f t="shared" si="27"/>
        <v>4.2049199999999995</v>
      </c>
      <c r="AG74">
        <f>$A72*AH$4-Wing_Layout!$F$17</f>
        <v>28.71772</v>
      </c>
      <c r="AH74">
        <f t="shared" si="28"/>
        <v>7.25913</v>
      </c>
      <c r="AJ74">
        <f>$A72*AK$4-Wing_Layout!$F$18</f>
        <v>29.213120000000004</v>
      </c>
      <c r="AK74">
        <f t="shared" si="29"/>
        <v>10.34948</v>
      </c>
    </row>
    <row r="75" spans="1:37" ht="12.75">
      <c r="A75">
        <v>0.66535</v>
      </c>
      <c r="B75">
        <v>-0.03379</v>
      </c>
      <c r="I75">
        <f>$A73*J$4-Wing_Layout!$F$9</f>
        <v>26.5317</v>
      </c>
      <c r="J75">
        <f t="shared" si="20"/>
        <v>-8.81356</v>
      </c>
      <c r="L75">
        <f>$A73*M$4-Wing_Layout!$F$10</f>
        <v>26.76536</v>
      </c>
      <c r="M75">
        <f t="shared" si="21"/>
        <v>-1.3299440000000002</v>
      </c>
      <c r="O75">
        <f>$A73*P$4-Wing_Layout!$F$11</f>
        <v>27.68912</v>
      </c>
      <c r="P75">
        <f t="shared" si="22"/>
        <v>3.954536</v>
      </c>
      <c r="R75">
        <f>$A73*S$4-Wing_Layout!$F$12</f>
        <v>28.297040000000003</v>
      </c>
      <c r="S75">
        <f t="shared" si="23"/>
        <v>9.07544</v>
      </c>
      <c r="U75">
        <f>$A73*V$4-Wing_Layout!$F$13</f>
        <v>28.500999999999998</v>
      </c>
      <c r="V75">
        <f t="shared" si="24"/>
        <v>-6.389</v>
      </c>
      <c r="X75">
        <f>$A73*Y$4-Wing_Layout!$F$14</f>
        <v>28.70496</v>
      </c>
      <c r="Y75">
        <f t="shared" si="25"/>
        <v>-2.85344</v>
      </c>
      <c r="AA75">
        <f>$A73*AB$4-Wing_Layout!$F$15</f>
        <v>28.908920000000002</v>
      </c>
      <c r="AB75">
        <f t="shared" si="26"/>
        <v>0.68212</v>
      </c>
      <c r="AD75">
        <f>$A73*AE$4-Wing_Layout!$F$16</f>
        <v>29.11288</v>
      </c>
      <c r="AE75">
        <f t="shared" si="27"/>
        <v>4.21768</v>
      </c>
      <c r="AG75">
        <f>$A73*AH$4-Wing_Layout!$F$17</f>
        <v>29.41882</v>
      </c>
      <c r="AH75">
        <f t="shared" si="28"/>
        <v>7.27102</v>
      </c>
      <c r="AJ75">
        <f>$A73*AK$4-Wing_Layout!$F$18</f>
        <v>29.828720000000004</v>
      </c>
      <c r="AK75">
        <f t="shared" si="29"/>
        <v>10.35992</v>
      </c>
    </row>
    <row r="76" spans="1:37" ht="12.75">
      <c r="A76">
        <v>0.70099</v>
      </c>
      <c r="B76">
        <v>-0.03239</v>
      </c>
      <c r="I76">
        <f>$A74*J$4-Wing_Layout!$F$9</f>
        <v>27.994974999999997</v>
      </c>
      <c r="J76">
        <f t="shared" si="20"/>
        <v>-8.77531</v>
      </c>
      <c r="L76">
        <f>$A74*M$4-Wing_Layout!$F$10</f>
        <v>27.93598</v>
      </c>
      <c r="M76">
        <f t="shared" si="21"/>
        <v>-1.301894</v>
      </c>
      <c r="O76">
        <f>$A74*P$4-Wing_Layout!$F$11</f>
        <v>28.65316</v>
      </c>
      <c r="P76">
        <f t="shared" si="22"/>
        <v>3.976586</v>
      </c>
      <c r="R76">
        <f>$A74*S$4-Wing_Layout!$F$12</f>
        <v>29.19222</v>
      </c>
      <c r="S76">
        <f t="shared" si="23"/>
        <v>9.09494</v>
      </c>
      <c r="U76">
        <f>$A74*V$4-Wing_Layout!$F$13</f>
        <v>29.36175</v>
      </c>
      <c r="V76">
        <f t="shared" si="24"/>
        <v>-6.37025</v>
      </c>
      <c r="X76">
        <f>$A74*Y$4-Wing_Layout!$F$14</f>
        <v>29.531280000000002</v>
      </c>
      <c r="Y76">
        <f t="shared" si="25"/>
        <v>-2.83544</v>
      </c>
      <c r="AA76">
        <f>$A74*AB$4-Wing_Layout!$F$15</f>
        <v>29.700809999999997</v>
      </c>
      <c r="AB76">
        <f t="shared" si="26"/>
        <v>0.6993699999999999</v>
      </c>
      <c r="AD76">
        <f>$A74*AE$4-Wing_Layout!$F$16</f>
        <v>29.87034</v>
      </c>
      <c r="AE76">
        <f t="shared" si="27"/>
        <v>4.23418</v>
      </c>
      <c r="AG76">
        <f>$A74*AH$4-Wing_Layout!$F$17</f>
        <v>30.124634999999998</v>
      </c>
      <c r="AH76">
        <f t="shared" si="28"/>
        <v>7.286395</v>
      </c>
      <c r="AJ76">
        <f>$A74*AK$4-Wing_Layout!$F$18</f>
        <v>30.44846</v>
      </c>
      <c r="AK76">
        <f t="shared" si="29"/>
        <v>10.37342</v>
      </c>
    </row>
    <row r="77" spans="1:37" ht="12.75">
      <c r="A77">
        <v>0.73774</v>
      </c>
      <c r="B77">
        <v>-0.03049</v>
      </c>
      <c r="I77">
        <f>$A75*J$4-Wing_Layout!$F$9</f>
        <v>29.477375</v>
      </c>
      <c r="J77">
        <f t="shared" si="20"/>
        <v>-8.72329</v>
      </c>
      <c r="L77">
        <f>$A75*M$4-Wing_Layout!$F$10</f>
        <v>29.1219</v>
      </c>
      <c r="M77">
        <f t="shared" si="21"/>
        <v>-1.263746</v>
      </c>
      <c r="O77">
        <f>$A75*P$4-Wing_Layout!$F$11</f>
        <v>29.6298</v>
      </c>
      <c r="P77">
        <f t="shared" si="22"/>
        <v>4.006574</v>
      </c>
      <c r="R77">
        <f>$A75*S$4-Wing_Layout!$F$12</f>
        <v>30.0991</v>
      </c>
      <c r="S77">
        <f t="shared" si="23"/>
        <v>9.12146</v>
      </c>
      <c r="U77">
        <f>$A75*V$4-Wing_Layout!$F$13</f>
        <v>30.23375</v>
      </c>
      <c r="V77">
        <f t="shared" si="24"/>
        <v>-6.34475</v>
      </c>
      <c r="X77">
        <f>$A75*Y$4-Wing_Layout!$F$14</f>
        <v>30.3684</v>
      </c>
      <c r="Y77">
        <f t="shared" si="25"/>
        <v>-2.81096</v>
      </c>
      <c r="AA77">
        <f>$A75*AB$4-Wing_Layout!$F$15</f>
        <v>30.50305</v>
      </c>
      <c r="AB77">
        <f t="shared" si="26"/>
        <v>0.72283</v>
      </c>
      <c r="AD77">
        <f>$A75*AE$4-Wing_Layout!$F$16</f>
        <v>30.637700000000002</v>
      </c>
      <c r="AE77">
        <f t="shared" si="27"/>
        <v>4.25662</v>
      </c>
      <c r="AG77">
        <f>$A75*AH$4-Wing_Layout!$F$17</f>
        <v>30.839675</v>
      </c>
      <c r="AH77">
        <f t="shared" si="28"/>
        <v>7.3073049999999995</v>
      </c>
      <c r="AJ77">
        <f>$A75*AK$4-Wing_Layout!$F$18</f>
        <v>31.076300000000003</v>
      </c>
      <c r="AK77">
        <f t="shared" si="29"/>
        <v>10.39178</v>
      </c>
    </row>
    <row r="78" spans="1:37" ht="12.75">
      <c r="A78">
        <v>0.77592</v>
      </c>
      <c r="B78">
        <v>-0.02799</v>
      </c>
      <c r="I78">
        <f>$A76*J$4-Wing_Layout!$F$9</f>
        <v>30.992075</v>
      </c>
      <c r="J78">
        <f t="shared" si="20"/>
        <v>-8.65189</v>
      </c>
      <c r="L78">
        <f>$A76*M$4-Wing_Layout!$F$10</f>
        <v>30.333660000000002</v>
      </c>
      <c r="M78">
        <f t="shared" si="21"/>
        <v>-1.2113860000000003</v>
      </c>
      <c r="O78">
        <f>$A76*P$4-Wing_Layout!$F$11</f>
        <v>30.62772</v>
      </c>
      <c r="P78">
        <f t="shared" si="22"/>
        <v>4.047734</v>
      </c>
      <c r="R78">
        <f>$A76*S$4-Wing_Layout!$F$12</f>
        <v>31.025740000000003</v>
      </c>
      <c r="S78">
        <f t="shared" si="23"/>
        <v>9.15786</v>
      </c>
      <c r="U78">
        <f>$A76*V$4-Wing_Layout!$F$13</f>
        <v>31.12475</v>
      </c>
      <c r="V78">
        <f t="shared" si="24"/>
        <v>-6.30975</v>
      </c>
      <c r="X78">
        <f>$A76*Y$4-Wing_Layout!$F$14</f>
        <v>31.22376</v>
      </c>
      <c r="Y78">
        <f t="shared" si="25"/>
        <v>-2.77736</v>
      </c>
      <c r="AA78">
        <f>$A76*AB$4-Wing_Layout!$F$15</f>
        <v>31.32277</v>
      </c>
      <c r="AB78">
        <f t="shared" si="26"/>
        <v>0.75503</v>
      </c>
      <c r="AD78">
        <f>$A76*AE$4-Wing_Layout!$F$16</f>
        <v>31.42178</v>
      </c>
      <c r="AE78">
        <f t="shared" si="27"/>
        <v>4.28742</v>
      </c>
      <c r="AG78">
        <f>$A76*AH$4-Wing_Layout!$F$17</f>
        <v>31.570295</v>
      </c>
      <c r="AH78">
        <f t="shared" si="28"/>
        <v>7.336005</v>
      </c>
      <c r="AJ78">
        <f>$A76*AK$4-Wing_Layout!$F$18</f>
        <v>31.717820000000003</v>
      </c>
      <c r="AK78">
        <f t="shared" si="29"/>
        <v>10.41698</v>
      </c>
    </row>
    <row r="79" spans="1:37" ht="12.75">
      <c r="A79">
        <v>0.81587</v>
      </c>
      <c r="B79">
        <v>-0.02479</v>
      </c>
      <c r="I79">
        <f>$A77*J$4-Wing_Layout!$F$9</f>
        <v>32.55395</v>
      </c>
      <c r="J79">
        <f t="shared" si="20"/>
        <v>-8.55499</v>
      </c>
      <c r="L79">
        <f>$A77*M$4-Wing_Layout!$F$10</f>
        <v>31.58316</v>
      </c>
      <c r="M79">
        <f t="shared" si="21"/>
        <v>-1.140326</v>
      </c>
      <c r="O79">
        <f>$A77*P$4-Wing_Layout!$F$11</f>
        <v>31.65672</v>
      </c>
      <c r="P79">
        <f t="shared" si="22"/>
        <v>4.103594</v>
      </c>
      <c r="R79">
        <f>$A77*S$4-Wing_Layout!$F$12</f>
        <v>31.98124</v>
      </c>
      <c r="S79">
        <f t="shared" si="23"/>
        <v>9.20726</v>
      </c>
      <c r="U79">
        <f>$A77*V$4-Wing_Layout!$F$13</f>
        <v>32.0435</v>
      </c>
      <c r="V79">
        <f t="shared" si="24"/>
        <v>-6.26225</v>
      </c>
      <c r="X79">
        <f>$A77*Y$4-Wing_Layout!$F$14</f>
        <v>32.10576</v>
      </c>
      <c r="Y79">
        <f t="shared" si="25"/>
        <v>-2.73176</v>
      </c>
      <c r="AA79">
        <f>$A77*AB$4-Wing_Layout!$F$15</f>
        <v>32.16802</v>
      </c>
      <c r="AB79">
        <f t="shared" si="26"/>
        <v>0.79873</v>
      </c>
      <c r="AD79">
        <f>$A77*AE$4-Wing_Layout!$F$16</f>
        <v>32.23028</v>
      </c>
      <c r="AE79">
        <f t="shared" si="27"/>
        <v>4.32922</v>
      </c>
      <c r="AG79">
        <f>$A77*AH$4-Wing_Layout!$F$17</f>
        <v>32.32367</v>
      </c>
      <c r="AH79">
        <f t="shared" si="28"/>
        <v>7.374955</v>
      </c>
      <c r="AJ79">
        <f>$A77*AK$4-Wing_Layout!$F$18</f>
        <v>32.37932</v>
      </c>
      <c r="AK79">
        <f t="shared" si="29"/>
        <v>10.45118</v>
      </c>
    </row>
    <row r="80" spans="1:37" ht="12.75">
      <c r="A80">
        <v>0.85792</v>
      </c>
      <c r="B80">
        <v>-0.02076</v>
      </c>
      <c r="I80">
        <f>$A78*J$4-Wing_Layout!$F$9</f>
        <v>34.17660000000001</v>
      </c>
      <c r="J80">
        <f t="shared" si="20"/>
        <v>-8.42749</v>
      </c>
      <c r="L80">
        <f>$A78*M$4-Wing_Layout!$F$10</f>
        <v>32.881280000000004</v>
      </c>
      <c r="M80">
        <f t="shared" si="21"/>
        <v>-1.046826</v>
      </c>
      <c r="O80">
        <f>$A78*P$4-Wing_Layout!$F$11</f>
        <v>32.72576</v>
      </c>
      <c r="P80">
        <f t="shared" si="22"/>
        <v>4.177094</v>
      </c>
      <c r="R80">
        <f>$A78*S$4-Wing_Layout!$F$12</f>
        <v>32.97392000000001</v>
      </c>
      <c r="S80">
        <f t="shared" si="23"/>
        <v>9.27226</v>
      </c>
      <c r="U80">
        <f>$A78*V$4-Wing_Layout!$F$13</f>
        <v>32.998</v>
      </c>
      <c r="V80">
        <f t="shared" si="24"/>
        <v>-6.19975</v>
      </c>
      <c r="X80">
        <f>$A78*Y$4-Wing_Layout!$F$14</f>
        <v>33.02208</v>
      </c>
      <c r="Y80">
        <f t="shared" si="25"/>
        <v>-2.67176</v>
      </c>
      <c r="AA80">
        <f>$A78*AB$4-Wing_Layout!$F$15</f>
        <v>33.04616</v>
      </c>
      <c r="AB80">
        <f t="shared" si="26"/>
        <v>0.8562299999999999</v>
      </c>
      <c r="AD80">
        <f>$A78*AE$4-Wing_Layout!$F$16</f>
        <v>33.07024</v>
      </c>
      <c r="AE80">
        <f t="shared" si="27"/>
        <v>4.38422</v>
      </c>
      <c r="AG80">
        <f>$A78*AH$4-Wing_Layout!$F$17</f>
        <v>33.10636</v>
      </c>
      <c r="AH80">
        <f t="shared" si="28"/>
        <v>7.4262049999999995</v>
      </c>
      <c r="AJ80">
        <f>$A78*AK$4-Wing_Layout!$F$18</f>
        <v>33.06656</v>
      </c>
      <c r="AK80">
        <f t="shared" si="29"/>
        <v>10.49618</v>
      </c>
    </row>
    <row r="81" spans="1:37" ht="12.75">
      <c r="A81">
        <v>0.90241</v>
      </c>
      <c r="B81">
        <v>-0.01579</v>
      </c>
      <c r="I81">
        <f>$A79*J$4-Wing_Layout!$F$9</f>
        <v>35.874475000000004</v>
      </c>
      <c r="J81">
        <f t="shared" si="20"/>
        <v>-8.264289999999999</v>
      </c>
      <c r="L81">
        <f>$A79*M$4-Wing_Layout!$F$10</f>
        <v>34.239580000000004</v>
      </c>
      <c r="M81">
        <f t="shared" si="21"/>
        <v>-0.927146</v>
      </c>
      <c r="O81">
        <f>$A79*P$4-Wing_Layout!$F$11</f>
        <v>33.844359999999995</v>
      </c>
      <c r="P81">
        <f t="shared" si="22"/>
        <v>4.271174</v>
      </c>
      <c r="R81">
        <f>$A79*S$4-Wing_Layout!$F$12</f>
        <v>34.01262</v>
      </c>
      <c r="S81">
        <f t="shared" si="23"/>
        <v>9.35546</v>
      </c>
      <c r="U81">
        <f>$A79*V$4-Wing_Layout!$F$13</f>
        <v>33.99675</v>
      </c>
      <c r="V81">
        <f t="shared" si="24"/>
        <v>-6.11975</v>
      </c>
      <c r="X81">
        <f>$A79*Y$4-Wing_Layout!$F$14</f>
        <v>33.98088</v>
      </c>
      <c r="Y81">
        <f t="shared" si="25"/>
        <v>-2.59496</v>
      </c>
      <c r="AA81">
        <f>$A79*AB$4-Wing_Layout!$F$15</f>
        <v>33.96501</v>
      </c>
      <c r="AB81">
        <f t="shared" si="26"/>
        <v>0.92983</v>
      </c>
      <c r="AD81">
        <f>$A79*AE$4-Wing_Layout!$F$16</f>
        <v>33.94914</v>
      </c>
      <c r="AE81">
        <f t="shared" si="27"/>
        <v>4.45462</v>
      </c>
      <c r="AG81">
        <f>$A79*AH$4-Wing_Layout!$F$17</f>
        <v>33.925335000000004</v>
      </c>
      <c r="AH81">
        <f t="shared" si="28"/>
        <v>7.491805</v>
      </c>
      <c r="AJ81">
        <f>$A79*AK$4-Wing_Layout!$F$18</f>
        <v>33.78566</v>
      </c>
      <c r="AK81">
        <f t="shared" si="29"/>
        <v>10.55378</v>
      </c>
    </row>
    <row r="82" spans="1:37" ht="12.75">
      <c r="A82">
        <v>0.94965</v>
      </c>
      <c r="B82">
        <v>-0.00974</v>
      </c>
      <c r="I82">
        <f>$A80*J$4-Wing_Layout!$F$9</f>
        <v>37.66160000000001</v>
      </c>
      <c r="J82">
        <f t="shared" si="20"/>
        <v>-8.05876</v>
      </c>
      <c r="L82">
        <f>$A80*M$4-Wing_Layout!$F$10</f>
        <v>35.66928</v>
      </c>
      <c r="M82">
        <f t="shared" si="21"/>
        <v>-0.7764240000000001</v>
      </c>
      <c r="O82">
        <f>$A80*P$4-Wing_Layout!$F$11</f>
        <v>35.02176</v>
      </c>
      <c r="P82">
        <f t="shared" si="22"/>
        <v>4.3896560000000004</v>
      </c>
      <c r="R82">
        <f>$A80*S$4-Wing_Layout!$F$12</f>
        <v>35.10592</v>
      </c>
      <c r="S82">
        <f t="shared" si="23"/>
        <v>9.46024</v>
      </c>
      <c r="U82">
        <f>$A80*V$4-Wing_Layout!$F$13</f>
        <v>35.048</v>
      </c>
      <c r="V82">
        <f t="shared" si="24"/>
        <v>-6.019</v>
      </c>
      <c r="X82">
        <f>$A80*Y$4-Wing_Layout!$F$14</f>
        <v>34.99008</v>
      </c>
      <c r="Y82">
        <f t="shared" si="25"/>
        <v>-2.49824</v>
      </c>
      <c r="AA82">
        <f>$A80*AB$4-Wing_Layout!$F$15</f>
        <v>34.932159999999996</v>
      </c>
      <c r="AB82">
        <f t="shared" si="26"/>
        <v>1.02252</v>
      </c>
      <c r="AD82">
        <f>$A80*AE$4-Wing_Layout!$F$16</f>
        <v>34.87424</v>
      </c>
      <c r="AE82">
        <f t="shared" si="27"/>
        <v>4.54328</v>
      </c>
      <c r="AG82">
        <f>$A80*AH$4-Wing_Layout!$F$17</f>
        <v>34.78736</v>
      </c>
      <c r="AH82">
        <f t="shared" si="28"/>
        <v>7.57442</v>
      </c>
      <c r="AJ82">
        <f>$A80*AK$4-Wing_Layout!$F$18</f>
        <v>34.54256</v>
      </c>
      <c r="AK82">
        <f t="shared" si="29"/>
        <v>10.62632</v>
      </c>
    </row>
    <row r="83" spans="1:37" ht="12.75">
      <c r="A83">
        <v>1</v>
      </c>
      <c r="B83">
        <v>-0.00249</v>
      </c>
      <c r="I83">
        <f>$A81*J$4-Wing_Layout!$F$9</f>
        <v>39.55242500000001</v>
      </c>
      <c r="J83">
        <f t="shared" si="20"/>
        <v>-7.805289999999999</v>
      </c>
      <c r="L83">
        <f>$A81*M$4-Wing_Layout!$F$10</f>
        <v>37.18194</v>
      </c>
      <c r="M83">
        <f t="shared" si="21"/>
        <v>-0.590546</v>
      </c>
      <c r="O83">
        <f>$A81*P$4-Wing_Layout!$F$11</f>
        <v>36.267480000000006</v>
      </c>
      <c r="P83">
        <f t="shared" si="22"/>
        <v>4.535774</v>
      </c>
      <c r="R83">
        <f>$A81*S$4-Wing_Layout!$F$12</f>
        <v>36.26266</v>
      </c>
      <c r="S83">
        <f t="shared" si="23"/>
        <v>9.58946</v>
      </c>
      <c r="U83">
        <f>$A81*V$4-Wing_Layout!$F$13</f>
        <v>36.16025</v>
      </c>
      <c r="V83">
        <f t="shared" si="24"/>
        <v>-5.89475</v>
      </c>
      <c r="X83">
        <f>$A81*Y$4-Wing_Layout!$F$14</f>
        <v>36.05784</v>
      </c>
      <c r="Y83">
        <f t="shared" si="25"/>
        <v>-2.37896</v>
      </c>
      <c r="AA83">
        <f>$A81*AB$4-Wing_Layout!$F$15</f>
        <v>35.95543</v>
      </c>
      <c r="AB83">
        <f t="shared" si="26"/>
        <v>1.13683</v>
      </c>
      <c r="AD83">
        <f>$A81*AE$4-Wing_Layout!$F$16</f>
        <v>35.85302</v>
      </c>
      <c r="AE83">
        <f t="shared" si="27"/>
        <v>4.65262</v>
      </c>
      <c r="AG83">
        <f>$A81*AH$4-Wing_Layout!$F$17</f>
        <v>35.699405</v>
      </c>
      <c r="AH83">
        <f t="shared" si="28"/>
        <v>7.676305</v>
      </c>
      <c r="AJ83">
        <f>$A81*AK$4-Wing_Layout!$F$18</f>
        <v>35.34338</v>
      </c>
      <c r="AK83">
        <f t="shared" si="29"/>
        <v>10.71578</v>
      </c>
    </row>
    <row r="84" spans="9:37" ht="12.75">
      <c r="I84">
        <f>$A82*J$4-Wing_Layout!$F$9</f>
        <v>41.560125</v>
      </c>
      <c r="J84">
        <f t="shared" si="20"/>
        <v>-7.49674</v>
      </c>
      <c r="L84">
        <f>$A82*M$4-Wing_Layout!$F$10</f>
        <v>38.7881</v>
      </c>
      <c r="M84">
        <f t="shared" si="21"/>
        <v>-0.36427600000000004</v>
      </c>
      <c r="O84">
        <f>$A82*P$4-Wing_Layout!$F$11</f>
        <v>37.590199999999996</v>
      </c>
      <c r="P84">
        <f t="shared" si="22"/>
        <v>4.713644</v>
      </c>
      <c r="R84">
        <f>$A82*S$4-Wing_Layout!$F$12</f>
        <v>37.490899999999996</v>
      </c>
      <c r="S84">
        <f t="shared" si="23"/>
        <v>9.74676</v>
      </c>
      <c r="U84">
        <f>$A82*V$4-Wing_Layout!$F$13</f>
        <v>37.34125</v>
      </c>
      <c r="V84">
        <f t="shared" si="24"/>
        <v>-5.7435</v>
      </c>
      <c r="X84">
        <f>$A82*Y$4-Wing_Layout!$F$14</f>
        <v>37.1916</v>
      </c>
      <c r="Y84">
        <f t="shared" si="25"/>
        <v>-2.23376</v>
      </c>
      <c r="AA84">
        <f>$A82*AB$4-Wing_Layout!$F$15</f>
        <v>37.04195</v>
      </c>
      <c r="AB84">
        <f t="shared" si="26"/>
        <v>1.2759800000000001</v>
      </c>
      <c r="AD84">
        <f>$A82*AE$4-Wing_Layout!$F$16</f>
        <v>36.8923</v>
      </c>
      <c r="AE84">
        <f t="shared" si="27"/>
        <v>4.78572</v>
      </c>
      <c r="AG84">
        <f>$A82*AH$4-Wing_Layout!$F$17</f>
        <v>36.667825</v>
      </c>
      <c r="AH84">
        <f t="shared" si="28"/>
        <v>7.80033</v>
      </c>
      <c r="AJ84">
        <f>$A82*AK$4-Wing_Layout!$F$18</f>
        <v>36.1937</v>
      </c>
      <c r="AK84">
        <f t="shared" si="29"/>
        <v>10.82468</v>
      </c>
    </row>
    <row r="85" spans="9:37" ht="12.75">
      <c r="I85">
        <f>$A83*J$4-Wing_Layout!$F$9</f>
        <v>43.7</v>
      </c>
      <c r="J85">
        <f t="shared" si="20"/>
        <v>-7.12699</v>
      </c>
      <c r="L85">
        <f>$A83*M$4-Wing_Layout!$F$10</f>
        <v>40.5</v>
      </c>
      <c r="M85">
        <f t="shared" si="21"/>
        <v>-0.093126</v>
      </c>
      <c r="O85">
        <f>$A83*P$4-Wing_Layout!$F$11</f>
        <v>39</v>
      </c>
      <c r="P85">
        <f t="shared" si="22"/>
        <v>4.926794</v>
      </c>
      <c r="R85">
        <f>$A83*S$4-Wing_Layout!$F$12</f>
        <v>38.8</v>
      </c>
      <c r="S85">
        <f t="shared" si="23"/>
        <v>9.93526</v>
      </c>
      <c r="U85">
        <f>$A83*V$4-Wing_Layout!$F$13</f>
        <v>38.6</v>
      </c>
      <c r="V85">
        <f t="shared" si="24"/>
        <v>-5.56225</v>
      </c>
      <c r="X85">
        <f>$A83*Y$4-Wing_Layout!$F$14</f>
        <v>38.4</v>
      </c>
      <c r="Y85">
        <f t="shared" si="25"/>
        <v>-2.05976</v>
      </c>
      <c r="AA85">
        <f>$A83*AB$4-Wing_Layout!$F$15</f>
        <v>38.2</v>
      </c>
      <c r="AB85">
        <f t="shared" si="26"/>
        <v>1.44273</v>
      </c>
      <c r="AD85">
        <f>$A83*AE$4-Wing_Layout!$F$16</f>
        <v>38</v>
      </c>
      <c r="AE85">
        <f t="shared" si="27"/>
        <v>4.94522</v>
      </c>
      <c r="AG85">
        <f>$A83*AH$4-Wing_Layout!$F$17</f>
        <v>37.7</v>
      </c>
      <c r="AH85">
        <f t="shared" si="28"/>
        <v>7.948955</v>
      </c>
      <c r="AJ85">
        <f>$A83*AK$4-Wing_Layout!$F$18</f>
        <v>37.1</v>
      </c>
      <c r="AK85">
        <f t="shared" si="29"/>
        <v>10.95518</v>
      </c>
    </row>
    <row r="86" spans="5:62" ht="12.75">
      <c r="E86" s="14"/>
      <c r="F86" s="14"/>
      <c r="G86" s="14"/>
      <c r="H86" s="14"/>
      <c r="I86" s="14">
        <f>I85</f>
        <v>43.7</v>
      </c>
      <c r="J86" s="14">
        <f>J7</f>
        <v>-6.87199</v>
      </c>
      <c r="K86" s="14"/>
      <c r="L86" s="14">
        <f>L85</f>
        <v>40.5</v>
      </c>
      <c r="M86" s="14">
        <f>M7</f>
        <v>0.09387400000000001</v>
      </c>
      <c r="N86" s="14"/>
      <c r="O86" s="14">
        <f>O85</f>
        <v>39</v>
      </c>
      <c r="P86" s="14">
        <f>P7</f>
        <v>5.073794</v>
      </c>
      <c r="Q86" s="14"/>
      <c r="R86" s="14">
        <f>R85</f>
        <v>38.8</v>
      </c>
      <c r="S86" s="14">
        <f>S7</f>
        <v>10.06526</v>
      </c>
      <c r="T86" s="14"/>
      <c r="U86" s="14">
        <f>U85</f>
        <v>38.6</v>
      </c>
      <c r="V86" s="14">
        <f>V7</f>
        <v>-5.43725</v>
      </c>
      <c r="W86" s="14"/>
      <c r="X86" s="14">
        <f>X85</f>
        <v>38.4</v>
      </c>
      <c r="Y86" s="14">
        <f>Y7</f>
        <v>-1.93976</v>
      </c>
      <c r="Z86" s="14"/>
      <c r="AA86" s="14">
        <f>AA85</f>
        <v>38.2</v>
      </c>
      <c r="AB86" s="14">
        <f>AB7</f>
        <v>1.55773</v>
      </c>
      <c r="AC86" s="14"/>
      <c r="AD86" s="14">
        <f>AD85</f>
        <v>38</v>
      </c>
      <c r="AE86" s="14">
        <f>AE7</f>
        <v>5.05522</v>
      </c>
      <c r="AF86" s="14"/>
      <c r="AG86" s="14">
        <f>AG85</f>
        <v>37.7</v>
      </c>
      <c r="AH86" s="14">
        <f>AH7</f>
        <v>8.051455</v>
      </c>
      <c r="AI86" s="14"/>
      <c r="AJ86" s="14">
        <f>AJ85</f>
        <v>37.1</v>
      </c>
      <c r="AK86" s="14">
        <f>AK7</f>
        <v>11.04518</v>
      </c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</row>
    <row r="87" spans="5:62" ht="12.75">
      <c r="E87" s="7"/>
      <c r="F87" s="7"/>
      <c r="G87" s="7"/>
      <c r="H87" s="14"/>
      <c r="I87" s="14"/>
      <c r="J87" s="7"/>
      <c r="K87" s="7"/>
      <c r="L87" s="14"/>
      <c r="M87" s="7"/>
      <c r="N87" s="14"/>
      <c r="O87" s="14"/>
      <c r="P87" s="7"/>
      <c r="Q87" s="7"/>
      <c r="R87" s="14"/>
      <c r="S87" s="7"/>
      <c r="T87" s="14"/>
      <c r="U87" s="14"/>
      <c r="V87" s="7"/>
      <c r="W87" s="7"/>
      <c r="X87" s="14"/>
      <c r="Y87" s="7"/>
      <c r="Z87" s="14"/>
      <c r="AA87" s="14"/>
      <c r="AB87" s="7"/>
      <c r="AC87" s="7"/>
      <c r="AD87" s="14"/>
      <c r="AE87" s="7"/>
      <c r="AF87" s="14"/>
      <c r="AG87" s="14"/>
      <c r="AH87" s="7"/>
      <c r="AI87" s="7"/>
      <c r="AJ87" s="14"/>
      <c r="AK87" s="7"/>
      <c r="AL87" s="14"/>
      <c r="AM87" s="14"/>
      <c r="AN87" s="14"/>
      <c r="AO87" s="7"/>
      <c r="AP87" s="7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</row>
    <row r="88" spans="5:62" ht="12.75">
      <c r="E88" s="7"/>
      <c r="F88" s="7"/>
      <c r="G88" s="7"/>
      <c r="H88" s="7"/>
      <c r="I88">
        <f>R104+1</f>
        <v>27</v>
      </c>
      <c r="J88">
        <f>0.032*J$5*J$4+J$6</f>
        <v>-5.368</v>
      </c>
      <c r="L88">
        <f>U104+0.8</f>
        <v>26.8</v>
      </c>
      <c r="M88">
        <f>0.033*M$5*M$4+M$6</f>
        <v>1.2342000000000002</v>
      </c>
      <c r="O88">
        <f>X104+0.8</f>
        <v>26.8</v>
      </c>
      <c r="P88">
        <f>0.035*P$5*P$4+P$6</f>
        <v>6.029</v>
      </c>
      <c r="Q88" s="7"/>
      <c r="R88" s="7">
        <f>-Wing_Layout!$Q12</f>
        <v>21</v>
      </c>
      <c r="S88" s="1">
        <f>S$6+0.4</f>
        <v>10.4</v>
      </c>
      <c r="T88" s="7"/>
      <c r="U88" s="7">
        <f>-Wing_Layout!$Q12</f>
        <v>21</v>
      </c>
      <c r="V88" s="1">
        <f>V$6+0.4</f>
        <v>-5.1</v>
      </c>
      <c r="W88" s="7"/>
      <c r="X88" s="7">
        <f>-Wing_Layout!$Q12</f>
        <v>21</v>
      </c>
      <c r="Y88" s="1">
        <f>Y$6+0.4</f>
        <v>-1.6</v>
      </c>
      <c r="Z88" s="7"/>
      <c r="AA88" s="7">
        <f>-Wing_Layout!$Q12</f>
        <v>21</v>
      </c>
      <c r="AB88" s="1">
        <f>AB$6+0.4</f>
        <v>1.9</v>
      </c>
      <c r="AC88" s="7"/>
      <c r="AD88" s="7">
        <f>-Wing_Layout!$Q12</f>
        <v>21</v>
      </c>
      <c r="AE88" s="1">
        <f>AE$6+0.4</f>
        <v>5.4</v>
      </c>
      <c r="AF88" s="7"/>
      <c r="AG88" s="7">
        <f>-Wing_Layout!$Q12</f>
        <v>21</v>
      </c>
      <c r="AH88" s="1">
        <f>AH$6+0.4</f>
        <v>8.4</v>
      </c>
      <c r="AI88" s="7"/>
      <c r="AJ88" s="7">
        <f>-Wing_Layout!$Q12</f>
        <v>21</v>
      </c>
      <c r="AK88" s="1">
        <f>AK$6+0.4</f>
        <v>11.4</v>
      </c>
      <c r="AL88" s="14"/>
      <c r="AM88" s="14"/>
      <c r="AN88" s="14"/>
      <c r="AO88" s="7"/>
      <c r="AP88" s="7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</row>
    <row r="89" spans="5:62" ht="12.75">
      <c r="E89" s="7"/>
      <c r="F89" s="7"/>
      <c r="G89" s="7"/>
      <c r="H89" s="7"/>
      <c r="I89">
        <f>R103-1</f>
        <v>30</v>
      </c>
      <c r="J89">
        <f>0.015*J$5*J$4+J$6</f>
        <v>-6.235</v>
      </c>
      <c r="L89">
        <f>U103-0.8</f>
        <v>30.2</v>
      </c>
      <c r="M89">
        <f>0.015*M$5*M$4+M$6</f>
        <v>0.561</v>
      </c>
      <c r="O89">
        <f>X103-0.8</f>
        <v>30.2</v>
      </c>
      <c r="P89">
        <f>0.015*P$5*P$4+P$6</f>
        <v>5.441</v>
      </c>
      <c r="Q89" s="7"/>
      <c r="R89" s="7">
        <f>-Wing_Layout!$R12</f>
        <v>31</v>
      </c>
      <c r="S89" s="1">
        <f>S$6</f>
        <v>10</v>
      </c>
      <c r="T89" s="7"/>
      <c r="U89" s="7">
        <f>-Wing_Layout!$R12</f>
        <v>31</v>
      </c>
      <c r="V89" s="1">
        <f>V$6</f>
        <v>-5.5</v>
      </c>
      <c r="W89" s="7"/>
      <c r="X89" s="7">
        <f>-Wing_Layout!$R12</f>
        <v>31</v>
      </c>
      <c r="Y89" s="1">
        <f>Y$6</f>
        <v>-2</v>
      </c>
      <c r="Z89" s="7"/>
      <c r="AA89" s="7">
        <f>-Wing_Layout!$R12</f>
        <v>31</v>
      </c>
      <c r="AB89" s="1">
        <f>AB$6</f>
        <v>1.5</v>
      </c>
      <c r="AC89" s="7"/>
      <c r="AD89" s="7">
        <f>-Wing_Layout!$R12</f>
        <v>31</v>
      </c>
      <c r="AE89" s="1">
        <f>AE$6</f>
        <v>5</v>
      </c>
      <c r="AF89" s="7"/>
      <c r="AG89" s="7">
        <f>-Wing_Layout!$R12</f>
        <v>31</v>
      </c>
      <c r="AH89" s="1">
        <f>AH$6</f>
        <v>8</v>
      </c>
      <c r="AI89" s="7"/>
      <c r="AJ89" s="7">
        <f>-Wing_Layout!$R12</f>
        <v>31</v>
      </c>
      <c r="AK89" s="1">
        <f>AK$6</f>
        <v>11</v>
      </c>
      <c r="AL89" s="14"/>
      <c r="AM89" s="14"/>
      <c r="AN89" s="14"/>
      <c r="AO89" s="7"/>
      <c r="AP89" s="7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</row>
    <row r="90" spans="5:62" ht="12.75">
      <c r="E90" s="7"/>
      <c r="F90" s="7"/>
      <c r="G90" s="7"/>
      <c r="H90" s="7"/>
      <c r="I90">
        <f>I89</f>
        <v>30</v>
      </c>
      <c r="J90">
        <f>-0.015*J$5*J$4+J$6</f>
        <v>-7.765</v>
      </c>
      <c r="L90">
        <f>L89</f>
        <v>30.2</v>
      </c>
      <c r="M90">
        <f>-0.015*M$5*M$4+M$6</f>
        <v>-0.561</v>
      </c>
      <c r="O90">
        <f>O89</f>
        <v>30.2</v>
      </c>
      <c r="P90">
        <f>-0.015*P$5*P$4+P$6</f>
        <v>4.559</v>
      </c>
      <c r="Q90" s="7"/>
      <c r="R90" s="7">
        <f>AVERAGE(R88:R89)</f>
        <v>26</v>
      </c>
      <c r="S90" s="7">
        <f>AVERAGE(S88:S89)</f>
        <v>10.2</v>
      </c>
      <c r="T90" s="7"/>
      <c r="U90" s="7">
        <f>AVERAGE(U88:U89)</f>
        <v>26</v>
      </c>
      <c r="V90" s="7">
        <f>AVERAGE(V88:V89)</f>
        <v>-5.3</v>
      </c>
      <c r="W90" s="7"/>
      <c r="X90" s="7">
        <f>AVERAGE(X88:X89)</f>
        <v>26</v>
      </c>
      <c r="Y90" s="7">
        <f>AVERAGE(Y88:Y89)</f>
        <v>-1.8</v>
      </c>
      <c r="Z90" s="7"/>
      <c r="AA90" s="7">
        <f>AVERAGE(AA88:AA89)</f>
        <v>26</v>
      </c>
      <c r="AB90" s="7">
        <f>AVERAGE(AB88:AB89)</f>
        <v>1.7</v>
      </c>
      <c r="AC90" s="7"/>
      <c r="AD90" s="7">
        <f>AVERAGE(AD88:AD89)</f>
        <v>26</v>
      </c>
      <c r="AE90" s="7">
        <f>AVERAGE(AE88:AE89)</f>
        <v>5.2</v>
      </c>
      <c r="AF90" s="7"/>
      <c r="AG90" s="7">
        <f>AVERAGE(AG88:AG89)</f>
        <v>26</v>
      </c>
      <c r="AH90" s="7">
        <f>AVERAGE(AH88:AH89)</f>
        <v>8.2</v>
      </c>
      <c r="AI90" s="7"/>
      <c r="AJ90" s="7">
        <f>AVERAGE(AJ88:AJ89)</f>
        <v>26</v>
      </c>
      <c r="AK90" s="7">
        <f>AVERAGE(AK88:AK89)</f>
        <v>11.2</v>
      </c>
      <c r="AL90" s="14"/>
      <c r="AM90" s="14"/>
      <c r="AN90" s="14"/>
      <c r="AO90" s="7"/>
      <c r="AP90" s="7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</row>
    <row r="91" spans="5:62" ht="12.75">
      <c r="E91" s="14"/>
      <c r="F91" s="14"/>
      <c r="G91" s="14"/>
      <c r="H91" s="7"/>
      <c r="I91">
        <f>I88</f>
        <v>27</v>
      </c>
      <c r="J91">
        <f>-0.02*J$5*J$4+J$6</f>
        <v>-8.02</v>
      </c>
      <c r="L91">
        <f>L88</f>
        <v>26.8</v>
      </c>
      <c r="M91">
        <f>-0.02*M$5*M$4+M$6</f>
        <v>-0.7480000000000001</v>
      </c>
      <c r="O91">
        <f>O88</f>
        <v>26.8</v>
      </c>
      <c r="P91">
        <f>-0.017*P$5*P$4+P$6</f>
        <v>4.5001999999999995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</row>
    <row r="92" spans="8:62" ht="12.75">
      <c r="H92" s="7"/>
      <c r="I92">
        <f>I88</f>
        <v>27</v>
      </c>
      <c r="J92">
        <f>J88</f>
        <v>-5.368</v>
      </c>
      <c r="L92">
        <f>L88</f>
        <v>26.8</v>
      </c>
      <c r="M92">
        <f>M88</f>
        <v>1.2342000000000002</v>
      </c>
      <c r="O92">
        <f>O88</f>
        <v>26.8</v>
      </c>
      <c r="P92">
        <f>P88</f>
        <v>6.029</v>
      </c>
      <c r="Q92" s="7"/>
      <c r="R92" s="1">
        <f>R46</f>
        <v>12.8</v>
      </c>
      <c r="S92" s="7">
        <f>S6+Wing_Layout!$J4+Wing_Layout!$J5</f>
        <v>10.69</v>
      </c>
      <c r="T92" s="7"/>
      <c r="U92" s="1">
        <f>U46</f>
        <v>13.6</v>
      </c>
      <c r="V92" s="7">
        <f>V6+Wing_Layout!$J4+Wing_Layout!$J5</f>
        <v>-4.81</v>
      </c>
      <c r="W92" s="7"/>
      <c r="X92" s="1">
        <f>X46</f>
        <v>14.4</v>
      </c>
      <c r="Y92" s="7">
        <f>Y6+Wing_Layout!$J4+Wing_Layout!$J5</f>
        <v>-1.31</v>
      </c>
      <c r="Z92" s="7"/>
      <c r="AA92" s="1">
        <f>AA46</f>
        <v>15.2</v>
      </c>
      <c r="AB92" s="7">
        <f>AB6+Wing_Layout!$J4+Wing_Layout!$J5</f>
        <v>2.19</v>
      </c>
      <c r="AC92" s="7"/>
      <c r="AD92" s="1">
        <f>AD46</f>
        <v>16</v>
      </c>
      <c r="AE92" s="7">
        <f>AE6+Wing_Layout!$J4+Wing_Layout!$J5</f>
        <v>5.69</v>
      </c>
      <c r="AF92" s="7"/>
      <c r="AG92" s="1">
        <f>AG46</f>
        <v>17.2</v>
      </c>
      <c r="AH92" s="7">
        <f>AH6+Wing_Layout!$J4+Wing_Layout!$J5</f>
        <v>8.69</v>
      </c>
      <c r="AI92" s="7"/>
      <c r="AJ92" s="1">
        <f>AJ46</f>
        <v>19.1</v>
      </c>
      <c r="AK92" s="7">
        <f>AK6+Wing_Layout!$J4+Wing_Layout!$J5</f>
        <v>11.69</v>
      </c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</row>
    <row r="93" spans="8:62" ht="12.75">
      <c r="H93" s="7"/>
      <c r="Q93" s="7"/>
      <c r="R93" s="7">
        <f>R92+Wing_Layout!$I12</f>
        <v>15.345500000000001</v>
      </c>
      <c r="S93" s="7">
        <f>S92</f>
        <v>10.69</v>
      </c>
      <c r="T93" s="7"/>
      <c r="U93" s="7">
        <f>U92+Wing_Layout!$I13</f>
        <v>16.0495</v>
      </c>
      <c r="V93" s="7">
        <f>V92</f>
        <v>-4.81</v>
      </c>
      <c r="W93" s="7"/>
      <c r="X93" s="7">
        <f>X92+Wing_Layout!$I14</f>
        <v>16.7295</v>
      </c>
      <c r="Y93" s="7">
        <f>Y92</f>
        <v>-1.31</v>
      </c>
      <c r="Z93" s="7"/>
      <c r="AA93" s="7">
        <f>AA92+Wing_Layout!$I15</f>
        <v>17.3855</v>
      </c>
      <c r="AB93" s="7">
        <f>AB92</f>
        <v>2.19</v>
      </c>
      <c r="AC93" s="7"/>
      <c r="AD93" s="7">
        <f>AD92+Wing_Layout!$I16</f>
        <v>18.0175</v>
      </c>
      <c r="AE93" s="7">
        <f>AE92</f>
        <v>5.69</v>
      </c>
      <c r="AF93" s="7"/>
      <c r="AG93" s="7">
        <f>AG92+Wing_Layout!$I17</f>
        <v>19.034499999999998</v>
      </c>
      <c r="AH93" s="7">
        <f>AH92</f>
        <v>8.69</v>
      </c>
      <c r="AI93" s="7"/>
      <c r="AJ93" s="7">
        <f>AJ92+Wing_Layout!$I18</f>
        <v>20.7395</v>
      </c>
      <c r="AK93" s="7">
        <f>AK92</f>
        <v>11.69</v>
      </c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</row>
    <row r="94" spans="8:62" ht="12.75">
      <c r="H94" s="7"/>
      <c r="I94">
        <f>R102+1</f>
        <v>22</v>
      </c>
      <c r="J94">
        <f>0.05*J$5*J$4+J$6</f>
        <v>-4.45</v>
      </c>
      <c r="L94">
        <f>U102+0.8</f>
        <v>21.8</v>
      </c>
      <c r="M94">
        <f>0.053*M$5*M$4+M$6</f>
        <v>1.9822000000000002</v>
      </c>
      <c r="O94">
        <f>X102+0.8</f>
        <v>21.8</v>
      </c>
      <c r="P94">
        <f>0.052*P$5*P$4+P$6</f>
        <v>6.5288</v>
      </c>
      <c r="Q94" s="7"/>
      <c r="R94" s="7">
        <f>R93</f>
        <v>15.345500000000001</v>
      </c>
      <c r="S94" s="7">
        <f>S6-Wing_Layout!$J4+Wing_Layout!$J5</f>
        <v>9.97</v>
      </c>
      <c r="T94" s="7"/>
      <c r="U94" s="7">
        <f>U93</f>
        <v>16.0495</v>
      </c>
      <c r="V94" s="7">
        <f>V6-Wing_Layout!$J4+Wing_Layout!$J5</f>
        <v>-5.53</v>
      </c>
      <c r="W94" s="7"/>
      <c r="X94" s="7">
        <f>X93</f>
        <v>16.7295</v>
      </c>
      <c r="Y94" s="7">
        <f>Y6-Wing_Layout!$J4+Wing_Layout!$J5</f>
        <v>-2.03</v>
      </c>
      <c r="Z94" s="7"/>
      <c r="AA94" s="7">
        <f>AA93</f>
        <v>17.3855</v>
      </c>
      <c r="AB94" s="7">
        <f>AB6-Wing_Layout!$J4+Wing_Layout!$J5</f>
        <v>1.4700000000000002</v>
      </c>
      <c r="AC94" s="7"/>
      <c r="AD94" s="7">
        <f>AD93</f>
        <v>18.0175</v>
      </c>
      <c r="AE94" s="7">
        <f>AE6-Wing_Layout!$J4+Wing_Layout!$J5</f>
        <v>4.97</v>
      </c>
      <c r="AF94" s="7"/>
      <c r="AG94" s="7">
        <f>AG93</f>
        <v>19.034499999999998</v>
      </c>
      <c r="AH94" s="7">
        <f>AH6-Wing_Layout!$J4+Wing_Layout!$J5</f>
        <v>7.97</v>
      </c>
      <c r="AI94" s="7"/>
      <c r="AJ94" s="7">
        <f>AJ93</f>
        <v>20.7395</v>
      </c>
      <c r="AK94" s="7">
        <f>AK6-Wing_Layout!$J4+Wing_Layout!$J5</f>
        <v>10.97</v>
      </c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</row>
    <row r="95" spans="8:37" ht="12.75">
      <c r="H95" s="1"/>
      <c r="I95">
        <f>R104-1</f>
        <v>25</v>
      </c>
      <c r="J95">
        <f>0.04*J$5*J$4+J$6</f>
        <v>-4.96</v>
      </c>
      <c r="L95">
        <f>U104-0.8</f>
        <v>25.2</v>
      </c>
      <c r="M95">
        <f>0.043*M$5*M$4+M$6</f>
        <v>1.6082</v>
      </c>
      <c r="O95">
        <f>X104-0.8</f>
        <v>25.2</v>
      </c>
      <c r="P95">
        <f>0.042*P$5*P$4+P$6</f>
        <v>6.2348</v>
      </c>
      <c r="Q95" s="7"/>
      <c r="R95" s="7">
        <f>R92</f>
        <v>12.8</v>
      </c>
      <c r="S95" s="7">
        <f>S94</f>
        <v>9.97</v>
      </c>
      <c r="T95" s="7"/>
      <c r="U95" s="7">
        <f>U92</f>
        <v>13.6</v>
      </c>
      <c r="V95" s="7">
        <f>V94</f>
        <v>-5.53</v>
      </c>
      <c r="W95" s="7"/>
      <c r="X95" s="7">
        <f>X92</f>
        <v>14.4</v>
      </c>
      <c r="Y95" s="7">
        <f>Y94</f>
        <v>-2.03</v>
      </c>
      <c r="Z95" s="7"/>
      <c r="AA95" s="7">
        <f>AA92</f>
        <v>15.2</v>
      </c>
      <c r="AB95" s="7">
        <f>AB94</f>
        <v>1.4700000000000002</v>
      </c>
      <c r="AC95" s="7"/>
      <c r="AD95" s="7">
        <f>AD92</f>
        <v>16</v>
      </c>
      <c r="AE95" s="7">
        <f>AE94</f>
        <v>4.97</v>
      </c>
      <c r="AF95" s="7"/>
      <c r="AG95" s="7">
        <f>AG92</f>
        <v>17.2</v>
      </c>
      <c r="AH95" s="7">
        <f>AH94</f>
        <v>7.97</v>
      </c>
      <c r="AI95" s="7"/>
      <c r="AJ95" s="7">
        <f>AJ92</f>
        <v>19.1</v>
      </c>
      <c r="AK95" s="7">
        <f>AK94</f>
        <v>10.97</v>
      </c>
    </row>
    <row r="96" spans="8:37" ht="12.75">
      <c r="H96" s="1"/>
      <c r="I96">
        <f>I95</f>
        <v>25</v>
      </c>
      <c r="J96">
        <f>-0.02*J$5*J$4+J$6</f>
        <v>-8.02</v>
      </c>
      <c r="L96">
        <f>L95</f>
        <v>25.2</v>
      </c>
      <c r="M96">
        <f>-0.02*M$5*M$4+M$6</f>
        <v>-0.7480000000000001</v>
      </c>
      <c r="O96">
        <f>O95</f>
        <v>25.2</v>
      </c>
      <c r="P96">
        <f>-0.017*P$5*P$4+P$6</f>
        <v>4.5001999999999995</v>
      </c>
      <c r="Q96" s="1"/>
      <c r="R96" s="1">
        <f>R92</f>
        <v>12.8</v>
      </c>
      <c r="S96" s="1">
        <f>S92</f>
        <v>10.69</v>
      </c>
      <c r="T96" s="1"/>
      <c r="U96" s="1">
        <f>U92</f>
        <v>13.6</v>
      </c>
      <c r="V96" s="1">
        <f>V92</f>
        <v>-4.81</v>
      </c>
      <c r="W96" s="1"/>
      <c r="X96" s="1">
        <f>X92</f>
        <v>14.4</v>
      </c>
      <c r="Y96" s="1">
        <f>Y92</f>
        <v>-1.31</v>
      </c>
      <c r="Z96" s="1"/>
      <c r="AA96" s="1">
        <f>AA92</f>
        <v>15.2</v>
      </c>
      <c r="AB96" s="1">
        <f>AB92</f>
        <v>2.19</v>
      </c>
      <c r="AC96" s="1"/>
      <c r="AD96" s="1">
        <f>AD92</f>
        <v>16</v>
      </c>
      <c r="AE96" s="1">
        <f>AE92</f>
        <v>5.69</v>
      </c>
      <c r="AF96" s="1"/>
      <c r="AG96" s="1">
        <f>AG92</f>
        <v>17.2</v>
      </c>
      <c r="AH96" s="1">
        <f>AH92</f>
        <v>8.69</v>
      </c>
      <c r="AI96" s="1"/>
      <c r="AJ96" s="1">
        <f>AJ92</f>
        <v>19.1</v>
      </c>
      <c r="AK96" s="1">
        <f>AK92</f>
        <v>11.69</v>
      </c>
    </row>
    <row r="97" spans="8:37" ht="12.75">
      <c r="H97" s="1"/>
      <c r="I97">
        <f>I94</f>
        <v>22</v>
      </c>
      <c r="J97">
        <f>-0.02*J$5*J$4+J$6</f>
        <v>-8.02</v>
      </c>
      <c r="L97">
        <f>L94</f>
        <v>21.8</v>
      </c>
      <c r="M97">
        <f>-0.02*M$5*M$4+M$6</f>
        <v>-0.7480000000000001</v>
      </c>
      <c r="O97">
        <f>O94</f>
        <v>21.8</v>
      </c>
      <c r="P97">
        <f>-0.017*P$5*P$4+P$6</f>
        <v>4.5001999999999995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8:37" ht="12.75">
      <c r="H98" s="1"/>
      <c r="I98">
        <f>I94</f>
        <v>22</v>
      </c>
      <c r="J98">
        <f>J94</f>
        <v>-4.45</v>
      </c>
      <c r="L98">
        <f>L94</f>
        <v>21.8</v>
      </c>
      <c r="M98">
        <f>M94</f>
        <v>1.9822000000000002</v>
      </c>
      <c r="O98">
        <f>O94</f>
        <v>21.8</v>
      </c>
      <c r="P98">
        <f>P94</f>
        <v>6.5288</v>
      </c>
      <c r="Q98" s="1"/>
      <c r="R98" s="1">
        <f>-Wing_Layout!$G12-Wing_Layout!$J12</f>
        <v>34.15714285714285</v>
      </c>
      <c r="S98" s="1">
        <f>S$6+0.5</f>
        <v>10.5</v>
      </c>
      <c r="T98" s="1"/>
      <c r="U98" s="1">
        <f>-Wing_Layout!$G13-Wing_Layout!$J13</f>
        <v>34.135714285714286</v>
      </c>
      <c r="V98" s="1">
        <f>V$6+0.5</f>
        <v>-5</v>
      </c>
      <c r="W98" s="1"/>
      <c r="X98" s="1">
        <f>-Wing_Layout!$G14-Wing_Layout!$J14</f>
        <v>34.114285714285714</v>
      </c>
      <c r="Y98" s="1">
        <f>Y$6+0.5</f>
        <v>-1.5</v>
      </c>
      <c r="Z98" s="1"/>
      <c r="AA98" s="1">
        <f>-Wing_Layout!$G15-Wing_Layout!$J15</f>
        <v>34.09285714285715</v>
      </c>
      <c r="AB98" s="1">
        <f>AB$6+0.5</f>
        <v>2</v>
      </c>
      <c r="AC98" s="1"/>
      <c r="AD98" s="1">
        <f>-Wing_Layout!$G16-Wing_Layout!$J16</f>
        <v>34.07142857142857</v>
      </c>
      <c r="AE98" s="1">
        <f>AE$6+0.5</f>
        <v>5.5</v>
      </c>
      <c r="AF98" s="1"/>
      <c r="AG98" s="1"/>
      <c r="AH98" s="1"/>
      <c r="AI98" s="1"/>
      <c r="AJ98" s="1"/>
      <c r="AK98" s="1"/>
    </row>
    <row r="99" spans="8:37" ht="12.75">
      <c r="H99" s="1"/>
      <c r="Q99" s="1"/>
      <c r="R99" s="1">
        <f>R98</f>
        <v>34.15714285714285</v>
      </c>
      <c r="S99" s="1">
        <f>S$6-1</f>
        <v>9</v>
      </c>
      <c r="T99" s="1"/>
      <c r="U99" s="1">
        <f>U98</f>
        <v>34.135714285714286</v>
      </c>
      <c r="V99" s="1">
        <f>V$6-1</f>
        <v>-6.5</v>
      </c>
      <c r="W99" s="1"/>
      <c r="X99" s="1">
        <f>X98</f>
        <v>34.114285714285714</v>
      </c>
      <c r="Y99" s="1">
        <f>Y$6-1</f>
        <v>-3</v>
      </c>
      <c r="Z99" s="1"/>
      <c r="AA99" s="1">
        <f>AA98</f>
        <v>34.09285714285715</v>
      </c>
      <c r="AB99" s="1">
        <f>AB$6-1</f>
        <v>0.5</v>
      </c>
      <c r="AC99" s="1"/>
      <c r="AD99" s="1">
        <f>AD98</f>
        <v>34.07142857142857</v>
      </c>
      <c r="AE99" s="1">
        <f>AE$6-1</f>
        <v>4</v>
      </c>
      <c r="AF99" s="1"/>
      <c r="AG99" s="1"/>
      <c r="AH99" s="1"/>
      <c r="AI99" s="1"/>
      <c r="AJ99" s="1"/>
      <c r="AK99" s="1"/>
    </row>
    <row r="100" spans="8:37" ht="12.75">
      <c r="H100" s="1"/>
      <c r="L100">
        <f>U107+1.5</f>
        <v>10.6655</v>
      </c>
      <c r="M100">
        <f>0.049*M$5*M$4+M$6</f>
        <v>1.8326000000000002</v>
      </c>
      <c r="O100">
        <f>X107+1.2</f>
        <v>14.817499999999999</v>
      </c>
      <c r="P100">
        <f>0.045*P$5*P$4+P$6</f>
        <v>6.323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8:37" ht="12.75">
      <c r="H101" s="1"/>
      <c r="L101">
        <f>U107+6</f>
        <v>15.1655</v>
      </c>
      <c r="M101">
        <f>0.062*M$5*M$4+M$6</f>
        <v>2.3188000000000004</v>
      </c>
      <c r="O101">
        <f>X88-0.8</f>
        <v>20.2</v>
      </c>
      <c r="P101">
        <f>0.053*P$5*P$4+P$6</f>
        <v>6.5582</v>
      </c>
      <c r="Q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8:37" ht="12.75">
      <c r="H102" s="1"/>
      <c r="L102">
        <f>L101</f>
        <v>15.1655</v>
      </c>
      <c r="M102">
        <f>-0.013*M$5*M$4+M$6</f>
        <v>-0.4862</v>
      </c>
      <c r="O102">
        <f>O101</f>
        <v>20.2</v>
      </c>
      <c r="P102">
        <f>-0.013*P$5*P$4+P$6</f>
        <v>4.6178</v>
      </c>
      <c r="Q102" s="1"/>
      <c r="R102" s="3">
        <f>-Wing_Layout!$Q12</f>
        <v>21</v>
      </c>
      <c r="S102" s="4">
        <f>J$6+0.4</f>
        <v>-6.6</v>
      </c>
      <c r="T102" s="4"/>
      <c r="U102" s="4">
        <f>-Wing_Layout!$Q12</f>
        <v>21</v>
      </c>
      <c r="V102" s="4">
        <f>M$6+0.4</f>
        <v>0.4</v>
      </c>
      <c r="W102" s="4"/>
      <c r="X102" s="4">
        <f>-Wing_Layout!$Q12</f>
        <v>21</v>
      </c>
      <c r="Y102" s="5">
        <f>P$6+0.4</f>
        <v>5.4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2:25" ht="12.75">
      <c r="L103">
        <f>L100</f>
        <v>10.6655</v>
      </c>
      <c r="M103">
        <f>-0.009*M$5*M$4+M$6</f>
        <v>-0.3366</v>
      </c>
      <c r="O103">
        <f>O100</f>
        <v>14.817499999999999</v>
      </c>
      <c r="P103">
        <f>-0.005*P$5*P$4+P$6</f>
        <v>4.853</v>
      </c>
      <c r="R103" s="6">
        <f>-Wing_Layout!$R12</f>
        <v>31</v>
      </c>
      <c r="S103" s="7">
        <f>J$6-0.1</f>
        <v>-7.1</v>
      </c>
      <c r="T103" s="7"/>
      <c r="U103" s="7">
        <f>-Wing_Layout!$R12</f>
        <v>31</v>
      </c>
      <c r="V103" s="7">
        <f>M$6-0.1</f>
        <v>-0.1</v>
      </c>
      <c r="W103" s="7"/>
      <c r="X103" s="7">
        <f>-Wing_Layout!$R12</f>
        <v>31</v>
      </c>
      <c r="Y103" s="8">
        <f>P$6-0.1</f>
        <v>4.9</v>
      </c>
    </row>
    <row r="104" spans="12:25" ht="12.75">
      <c r="L104">
        <f>L100</f>
        <v>10.6655</v>
      </c>
      <c r="M104">
        <f>M100</f>
        <v>1.8326000000000002</v>
      </c>
      <c r="O104">
        <f>O100</f>
        <v>14.817499999999999</v>
      </c>
      <c r="P104">
        <f>P100</f>
        <v>6.323</v>
      </c>
      <c r="R104" s="6">
        <f>AVERAGE(R102:R103)</f>
        <v>26</v>
      </c>
      <c r="S104" s="7">
        <f>AVERAGE(S102:S103)</f>
        <v>-6.85</v>
      </c>
      <c r="T104" s="7"/>
      <c r="U104" s="7">
        <f>AVERAGE(U102:U103)</f>
        <v>26</v>
      </c>
      <c r="V104" s="7">
        <f>AVERAGE(V102:V103)</f>
        <v>0.15000000000000002</v>
      </c>
      <c r="W104" s="7"/>
      <c r="X104" s="7">
        <f>AVERAGE(X102:X103)</f>
        <v>26</v>
      </c>
      <c r="Y104" s="8">
        <f>AVERAGE(Y102:Y103)</f>
        <v>5.15</v>
      </c>
    </row>
    <row r="105" spans="18:25" ht="12.75">
      <c r="R105" s="6"/>
      <c r="S105" s="7"/>
      <c r="T105" s="7"/>
      <c r="U105" s="7"/>
      <c r="V105" s="7"/>
      <c r="W105" s="7"/>
      <c r="X105" s="7"/>
      <c r="Y105" s="8"/>
    </row>
    <row r="106" spans="12:25" ht="12.75">
      <c r="L106">
        <f>U107+7</f>
        <v>16.1655</v>
      </c>
      <c r="M106">
        <f>M101</f>
        <v>2.3188000000000004</v>
      </c>
      <c r="R106" s="6">
        <f>I46</f>
        <v>1.2</v>
      </c>
      <c r="S106" s="7">
        <f>J6+Wing_Layout!$J4+Wing_Layout!$J5</f>
        <v>-6.31</v>
      </c>
      <c r="T106" s="7"/>
      <c r="U106" s="7">
        <f>L46</f>
        <v>6.5</v>
      </c>
      <c r="V106" s="7">
        <f>M6+Wing_Layout!$J4+Wing_Layout!$J5</f>
        <v>0.69</v>
      </c>
      <c r="W106" s="7"/>
      <c r="X106" s="7">
        <f>O46</f>
        <v>11</v>
      </c>
      <c r="Y106" s="8">
        <f>P6+Wing_Layout!$J4+Wing_Layout!$J5</f>
        <v>5.69</v>
      </c>
    </row>
    <row r="107" spans="12:25" ht="12.75">
      <c r="L107">
        <f>U102-0.8</f>
        <v>20.2</v>
      </c>
      <c r="M107">
        <f>0.057*M$5*M$4+M$6</f>
        <v>2.1318</v>
      </c>
      <c r="R107" s="6">
        <f>R106+Wing_Layout!$I9</f>
        <v>3.8895</v>
      </c>
      <c r="S107" s="7">
        <f>S106</f>
        <v>-6.31</v>
      </c>
      <c r="T107" s="7"/>
      <c r="U107" s="7">
        <f>U106+Wing_Layout!$I10</f>
        <v>9.1655</v>
      </c>
      <c r="V107" s="7">
        <f>V106</f>
        <v>0.69</v>
      </c>
      <c r="W107" s="7"/>
      <c r="X107" s="7">
        <f>X106+Wing_Layout!$I11</f>
        <v>13.6175</v>
      </c>
      <c r="Y107" s="8">
        <f>Y106</f>
        <v>5.69</v>
      </c>
    </row>
    <row r="108" spans="12:25" ht="12.75">
      <c r="L108">
        <f>L107</f>
        <v>20.2</v>
      </c>
      <c r="M108">
        <f>-0.019*M$5*M$4+M$6</f>
        <v>-0.7106000000000001</v>
      </c>
      <c r="R108" s="6">
        <f>R107</f>
        <v>3.8895</v>
      </c>
      <c r="S108" s="7">
        <f>J6-Wing_Layout!$J4+Wing_Layout!$J5</f>
        <v>-7.03</v>
      </c>
      <c r="T108" s="7"/>
      <c r="U108" s="7">
        <f>U107</f>
        <v>9.1655</v>
      </c>
      <c r="V108" s="7">
        <f>M6-Wing_Layout!$J4+Wing_Layout!$J5</f>
        <v>-0.02999999999999997</v>
      </c>
      <c r="W108" s="7"/>
      <c r="X108" s="7">
        <f>X107</f>
        <v>13.6175</v>
      </c>
      <c r="Y108" s="8">
        <f>P6-Wing_Layout!$J4+Wing_Layout!$J5</f>
        <v>4.97</v>
      </c>
    </row>
    <row r="109" spans="12:25" ht="12.75">
      <c r="L109">
        <f>L106</f>
        <v>16.1655</v>
      </c>
      <c r="M109">
        <f>-0.015*M$5*M$4+M$6</f>
        <v>-0.561</v>
      </c>
      <c r="R109" s="6">
        <f>R106</f>
        <v>1.2</v>
      </c>
      <c r="S109" s="7">
        <f>S108</f>
        <v>-7.03</v>
      </c>
      <c r="T109" s="7"/>
      <c r="U109" s="7">
        <f>U106</f>
        <v>6.5</v>
      </c>
      <c r="V109" s="7">
        <f>V108</f>
        <v>-0.02999999999999997</v>
      </c>
      <c r="W109" s="7"/>
      <c r="X109" s="7">
        <f>X106</f>
        <v>11</v>
      </c>
      <c r="Y109" s="8">
        <f>Y108</f>
        <v>4.97</v>
      </c>
    </row>
    <row r="110" spans="12:25" ht="12.75">
      <c r="L110">
        <f>L106</f>
        <v>16.1655</v>
      </c>
      <c r="M110">
        <f>M106</f>
        <v>2.3188000000000004</v>
      </c>
      <c r="R110" s="9">
        <f>R106</f>
        <v>1.2</v>
      </c>
      <c r="S110" s="10">
        <f>S106</f>
        <v>-6.31</v>
      </c>
      <c r="T110" s="10"/>
      <c r="U110" s="10">
        <f>U106</f>
        <v>6.5</v>
      </c>
      <c r="V110" s="10">
        <f>V106</f>
        <v>0.69</v>
      </c>
      <c r="W110" s="10"/>
      <c r="X110" s="10">
        <f>X106</f>
        <v>11</v>
      </c>
      <c r="Y110" s="11">
        <f>Y106</f>
        <v>5.69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Lele</cp:lastModifiedBy>
  <cp:lastPrinted>2010-04-05T17:22:08Z</cp:lastPrinted>
  <dcterms:created xsi:type="dcterms:W3CDTF">2010-03-04T19:39:26Z</dcterms:created>
  <dcterms:modified xsi:type="dcterms:W3CDTF">2010-04-05T17:22:51Z</dcterms:modified>
  <cp:category/>
  <cp:version/>
  <cp:contentType/>
  <cp:contentStatus/>
</cp:coreProperties>
</file>